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cs\homes\02\rigbyr1\My Desktop\"/>
    </mc:Choice>
  </mc:AlternateContent>
  <bookViews>
    <workbookView xWindow="0" yWindow="0" windowWidth="19200" windowHeight="6470"/>
  </bookViews>
  <sheets>
    <sheet name="correlations" sheetId="1" r:id="rId1"/>
    <sheet name="ttest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8" i="2" l="1"/>
  <c r="B38" i="2"/>
  <c r="H35" i="2"/>
  <c r="F35" i="2"/>
  <c r="H34" i="2"/>
  <c r="F34" i="2"/>
  <c r="Z33" i="2"/>
  <c r="H33" i="2"/>
  <c r="F33" i="2"/>
  <c r="Z32" i="2"/>
  <c r="H32" i="2"/>
  <c r="F32" i="2"/>
  <c r="J31" i="2"/>
  <c r="H31" i="2"/>
  <c r="F31" i="2"/>
  <c r="D31" i="2"/>
  <c r="AA30" i="2"/>
  <c r="H30" i="2"/>
  <c r="F30" i="2"/>
  <c r="J29" i="2"/>
  <c r="H29" i="2"/>
  <c r="F29" i="2"/>
  <c r="J28" i="2"/>
  <c r="H28" i="2"/>
  <c r="F28" i="2"/>
  <c r="H27" i="2"/>
  <c r="H26" i="2"/>
  <c r="F26" i="2"/>
  <c r="AL25" i="2"/>
  <c r="J25" i="2"/>
  <c r="H25" i="2"/>
  <c r="F25" i="2"/>
  <c r="AM24" i="2"/>
  <c r="AL24" i="2"/>
  <c r="L24" i="2"/>
  <c r="J24" i="2"/>
  <c r="H24" i="2"/>
  <c r="F24" i="2"/>
  <c r="J23" i="2"/>
  <c r="H23" i="2"/>
  <c r="F23" i="2"/>
  <c r="J22" i="2"/>
  <c r="H22" i="2"/>
  <c r="F22" i="2"/>
  <c r="AH21" i="2"/>
  <c r="AF21" i="2"/>
  <c r="J21" i="2"/>
  <c r="AN20" i="2"/>
  <c r="J20" i="2"/>
  <c r="H20" i="2"/>
  <c r="AA19" i="2"/>
  <c r="F19" i="2"/>
  <c r="H18" i="2"/>
  <c r="F18" i="2"/>
  <c r="S17" i="2"/>
  <c r="H17" i="2"/>
  <c r="F17" i="2"/>
  <c r="AP16" i="2"/>
  <c r="S16" i="2"/>
  <c r="J16" i="2"/>
  <c r="F16" i="2"/>
  <c r="AC15" i="2"/>
  <c r="O15" i="2"/>
  <c r="H15" i="2"/>
  <c r="F15" i="2"/>
  <c r="O14" i="2"/>
  <c r="J14" i="2"/>
  <c r="H14" i="2"/>
  <c r="F14" i="2"/>
  <c r="AN13" i="2"/>
  <c r="AJ13" i="2"/>
  <c r="Q13" i="2"/>
  <c r="J13" i="2"/>
  <c r="H13" i="2"/>
  <c r="F13" i="2"/>
  <c r="J12" i="2"/>
  <c r="F12" i="2"/>
  <c r="J11" i="2"/>
  <c r="H11" i="2"/>
  <c r="F11" i="2"/>
  <c r="J10" i="2"/>
  <c r="H10" i="2"/>
  <c r="F10" i="2"/>
  <c r="J9" i="2"/>
  <c r="H9" i="2"/>
  <c r="F9" i="2"/>
  <c r="J8" i="2"/>
  <c r="H8" i="2"/>
  <c r="F8" i="2"/>
  <c r="J7" i="2"/>
  <c r="H7" i="2"/>
  <c r="F7" i="2"/>
  <c r="J6" i="2"/>
  <c r="H6" i="2"/>
  <c r="J5" i="2"/>
  <c r="H5" i="2"/>
  <c r="F5" i="2"/>
  <c r="J4" i="2"/>
  <c r="H4" i="2"/>
  <c r="F4" i="2"/>
  <c r="AN3" i="2"/>
  <c r="J3" i="2"/>
  <c r="J33" i="2" s="1"/>
  <c r="H3" i="2"/>
  <c r="H36" i="2" s="1"/>
  <c r="F3" i="2"/>
  <c r="F36" i="2" s="1"/>
  <c r="N23" i="1"/>
</calcChain>
</file>

<file path=xl/sharedStrings.xml><?xml version="1.0" encoding="utf-8"?>
<sst xmlns="http://schemas.openxmlformats.org/spreadsheetml/2006/main" count="85" uniqueCount="37">
  <si>
    <t>TBL6</t>
  </si>
  <si>
    <t># Days with Stoma</t>
  </si>
  <si>
    <t>% TBL</t>
  </si>
  <si>
    <t>% decrease in VH</t>
  </si>
  <si>
    <t>% Beclin-1</t>
  </si>
  <si>
    <t>Collagen %</t>
  </si>
  <si>
    <t>fibrosis % change</t>
  </si>
  <si>
    <t>% collagen</t>
  </si>
  <si>
    <t>in TBL</t>
  </si>
  <si>
    <t>length of stay</t>
  </si>
  <si>
    <t>fibrosis score</t>
  </si>
  <si>
    <t>collagen mRNA</t>
  </si>
  <si>
    <t>post op complications 0=no, 1=yes</t>
  </si>
  <si>
    <t>Mean CRP</t>
  </si>
  <si>
    <t>Mean WBC</t>
  </si>
  <si>
    <t>Mean Albumin</t>
  </si>
  <si>
    <t>SR score in D</t>
  </si>
  <si>
    <t>% change in collagen protein</t>
  </si>
  <si>
    <t>% change in beclin 1</t>
  </si>
  <si>
    <t>Age</t>
  </si>
  <si>
    <t>type of complication</t>
  </si>
  <si>
    <t>BMI</t>
  </si>
  <si>
    <t>Firmicutes</t>
  </si>
  <si>
    <t>Bacteroidetes</t>
  </si>
  <si>
    <t>y-Proteobacteria</t>
  </si>
  <si>
    <t>Prox</t>
  </si>
  <si>
    <t>Distal</t>
  </si>
  <si>
    <t>% change</t>
  </si>
  <si>
    <t>F</t>
  </si>
  <si>
    <t>D</t>
  </si>
  <si>
    <t>ttest</t>
  </si>
  <si>
    <t>average</t>
  </si>
  <si>
    <t>bowel function</t>
  </si>
  <si>
    <t>ileus</t>
  </si>
  <si>
    <t>ileus/leak</t>
  </si>
  <si>
    <t>wound</t>
  </si>
  <si>
    <t xml:space="preserve">ttest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</si>
</sst>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 applyAlignment="1">
      <alignment horizontal="center"/>
    </xf>
    <xf numFmtId="164" fontId="0" fillId="0" borderId="1" xfId="0" applyNumberFormat="1" applyBorder="1" applyAlignment="1">
      <alignment horizontal="center" vertical="top"/>
    </xf>
    <xf numFmtId="164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2" borderId="0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/>
    <xf numFmtId="0" fontId="0" fillId="0" borderId="0" xfId="0" applyFont="1" applyFill="1" applyBorder="1" applyAlignment="1">
      <alignment horizontal="center" vertical="top" wrapText="1"/>
    </xf>
    <xf numFmtId="164" fontId="0" fillId="0" borderId="1" xfId="0" applyNumberFormat="1" applyFont="1" applyFill="1" applyBorder="1"/>
    <xf numFmtId="164" fontId="1" fillId="3" borderId="1" xfId="0" applyNumberFormat="1" applyFont="1" applyFill="1" applyBorder="1"/>
    <xf numFmtId="1" fontId="0" fillId="0" borderId="0" xfId="0" applyNumberFormat="1"/>
    <xf numFmtId="0" fontId="0" fillId="2" borderId="0" xfId="0" applyFill="1" applyBorder="1"/>
    <xf numFmtId="164" fontId="1" fillId="0" borderId="1" xfId="0" applyNumberFormat="1" applyFont="1" applyFill="1" applyBorder="1"/>
    <xf numFmtId="164" fontId="3" fillId="0" borderId="1" xfId="0" applyNumberFormat="1" applyFont="1" applyBorder="1"/>
    <xf numFmtId="0" fontId="0" fillId="0" borderId="0" xfId="0" applyFill="1" applyBorder="1"/>
    <xf numFmtId="164" fontId="0" fillId="0" borderId="1" xfId="0" applyNumberFormat="1" applyFill="1" applyBorder="1"/>
    <xf numFmtId="164" fontId="0" fillId="2" borderId="1" xfId="0" applyNumberFormat="1" applyFill="1" applyBorder="1"/>
    <xf numFmtId="0" fontId="0" fillId="2" borderId="0" xfId="0" applyFill="1" applyBorder="1" applyAlignment="1">
      <alignment vertical="center"/>
    </xf>
    <xf numFmtId="164" fontId="0" fillId="0" borderId="2" xfId="0" applyNumberFormat="1" applyBorder="1"/>
    <xf numFmtId="164" fontId="0" fillId="0" borderId="1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 wrapText="1"/>
    </xf>
    <xf numFmtId="164" fontId="0" fillId="0" borderId="0" xfId="0" applyNumberFormat="1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0" fillId="2" borderId="0" xfId="0" applyFont="1" applyFill="1" applyBorder="1"/>
    <xf numFmtId="0" fontId="0" fillId="0" borderId="0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64" fontId="0" fillId="0" borderId="1" xfId="0" applyNumberFormat="1" applyBorder="1"/>
    <xf numFmtId="164" fontId="0" fillId="0" borderId="0" xfId="0" applyNumberFormat="1"/>
    <xf numFmtId="164" fontId="3" fillId="0" borderId="0" xfId="0" applyNumberFormat="1" applyFont="1" applyBorder="1"/>
    <xf numFmtId="2" fontId="0" fillId="0" borderId="0" xfId="0" applyNumberFormat="1" applyFill="1"/>
    <xf numFmtId="164" fontId="0" fillId="2" borderId="0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wrapText="1"/>
    </xf>
    <xf numFmtId="1" fontId="0" fillId="0" borderId="0" xfId="0" applyNumberFormat="1" applyFill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workbookViewId="0">
      <selection activeCell="E17" sqref="E17"/>
    </sheetView>
  </sheetViews>
  <sheetFormatPr defaultRowHeight="14.5" x14ac:dyDescent="0.35"/>
  <sheetData>
    <row r="1" spans="1:30" ht="43.5" x14ac:dyDescent="0.35">
      <c r="A1" s="1" t="s">
        <v>1</v>
      </c>
      <c r="B1" s="2" t="s">
        <v>2</v>
      </c>
      <c r="D1" s="1" t="s">
        <v>1</v>
      </c>
      <c r="E1" s="3" t="s">
        <v>3</v>
      </c>
      <c r="G1" t="s">
        <v>1</v>
      </c>
      <c r="H1" t="s">
        <v>4</v>
      </c>
      <c r="J1" s="1" t="s">
        <v>1</v>
      </c>
      <c r="K1" t="s">
        <v>5</v>
      </c>
      <c r="M1" s="1" t="s">
        <v>1</v>
      </c>
      <c r="N1" t="s">
        <v>6</v>
      </c>
      <c r="P1" s="2" t="s">
        <v>2</v>
      </c>
      <c r="Q1" t="s">
        <v>7</v>
      </c>
      <c r="S1" s="2" t="s">
        <v>8</v>
      </c>
      <c r="T1" t="s">
        <v>4</v>
      </c>
      <c r="V1" s="2" t="s">
        <v>2</v>
      </c>
      <c r="W1" s="3" t="s">
        <v>3</v>
      </c>
      <c r="Y1" s="2" t="s">
        <v>8</v>
      </c>
      <c r="Z1" t="s">
        <v>6</v>
      </c>
      <c r="AC1" s="4" t="s">
        <v>9</v>
      </c>
      <c r="AD1" s="2" t="s">
        <v>0</v>
      </c>
    </row>
    <row r="2" spans="1:30" x14ac:dyDescent="0.35">
      <c r="A2" s="5">
        <v>302</v>
      </c>
      <c r="B2" s="6">
        <v>71.597939253992919</v>
      </c>
      <c r="D2" s="7">
        <v>815</v>
      </c>
      <c r="E2" s="8">
        <v>41.70125404437983</v>
      </c>
      <c r="G2">
        <v>355</v>
      </c>
      <c r="H2">
        <v>18.600000000000001</v>
      </c>
      <c r="J2" s="7">
        <v>815</v>
      </c>
      <c r="K2">
        <v>4.8192771084337522</v>
      </c>
      <c r="M2" s="5">
        <v>302</v>
      </c>
      <c r="N2">
        <v>380</v>
      </c>
      <c r="P2" s="9">
        <v>56.886928497048395</v>
      </c>
      <c r="Q2">
        <v>4.8192771084337522</v>
      </c>
      <c r="S2" s="9">
        <v>70.186465169944185</v>
      </c>
      <c r="T2">
        <v>-60.8</v>
      </c>
      <c r="V2" s="9">
        <v>56.886928497048395</v>
      </c>
      <c r="W2" s="8">
        <v>41.70125404437983</v>
      </c>
      <c r="Y2" s="6">
        <v>71.597939253992919</v>
      </c>
      <c r="Z2" s="10">
        <v>380</v>
      </c>
      <c r="AC2" s="11">
        <v>12</v>
      </c>
      <c r="AD2" s="6">
        <v>71.597939253992919</v>
      </c>
    </row>
    <row r="3" spans="1:30" x14ac:dyDescent="0.35">
      <c r="A3" s="7">
        <v>700</v>
      </c>
      <c r="B3" s="9">
        <v>70.830132678357216</v>
      </c>
      <c r="D3" s="7">
        <v>343</v>
      </c>
      <c r="E3" s="12">
        <v>45</v>
      </c>
      <c r="G3">
        <v>199</v>
      </c>
      <c r="H3">
        <v>-60.8</v>
      </c>
      <c r="J3" s="7">
        <v>343</v>
      </c>
      <c r="K3">
        <v>7.8947368421052602</v>
      </c>
      <c r="M3" s="7">
        <v>700</v>
      </c>
      <c r="N3">
        <v>-11</v>
      </c>
      <c r="P3" s="13">
        <v>31.811743795121643</v>
      </c>
      <c r="Q3">
        <v>7.8947368421052602</v>
      </c>
      <c r="S3" s="13">
        <v>7.6811920742229347</v>
      </c>
      <c r="T3">
        <v>38.5</v>
      </c>
      <c r="V3" s="13">
        <v>31.811743795121643</v>
      </c>
      <c r="W3" s="12">
        <v>45</v>
      </c>
      <c r="Y3" s="9">
        <v>70.830132678357216</v>
      </c>
      <c r="Z3" s="10">
        <v>-11</v>
      </c>
      <c r="AC3" s="14">
        <v>5</v>
      </c>
      <c r="AD3" s="9">
        <v>70.830132678357216</v>
      </c>
    </row>
    <row r="4" spans="1:30" x14ac:dyDescent="0.35">
      <c r="A4" s="7">
        <v>259</v>
      </c>
      <c r="B4" s="13">
        <v>55.929231400527222</v>
      </c>
      <c r="D4" s="7">
        <v>177</v>
      </c>
      <c r="E4" s="15">
        <v>41.3207155020323</v>
      </c>
      <c r="G4">
        <v>491</v>
      </c>
      <c r="H4">
        <v>26.7</v>
      </c>
      <c r="J4" s="7">
        <v>126</v>
      </c>
      <c r="K4">
        <v>-7.4380165289256013</v>
      </c>
      <c r="M4" s="7">
        <v>259</v>
      </c>
      <c r="N4" s="10">
        <v>40.384615384615387</v>
      </c>
      <c r="P4" s="13">
        <v>11.028814226469478</v>
      </c>
      <c r="Q4">
        <v>-7.4380165289256013</v>
      </c>
      <c r="S4" s="13">
        <v>92.436130307172846</v>
      </c>
      <c r="T4">
        <v>34.200000000000003</v>
      </c>
      <c r="V4" s="9">
        <v>76.72259388245628</v>
      </c>
      <c r="W4" s="15">
        <v>41.3207155020323</v>
      </c>
      <c r="Y4" s="13">
        <v>55.929231400527222</v>
      </c>
      <c r="Z4" s="10">
        <v>40.384615384615387</v>
      </c>
      <c r="AC4" s="14">
        <v>4</v>
      </c>
      <c r="AD4" s="13">
        <v>55.929231400527222</v>
      </c>
    </row>
    <row r="5" spans="1:30" x14ac:dyDescent="0.35">
      <c r="A5" s="7">
        <v>253</v>
      </c>
      <c r="B5" s="9">
        <v>4.109301698018669</v>
      </c>
      <c r="D5" s="7">
        <v>137</v>
      </c>
      <c r="E5" s="12">
        <v>48.6</v>
      </c>
      <c r="G5">
        <v>114</v>
      </c>
      <c r="H5">
        <v>38.5</v>
      </c>
      <c r="J5" s="7">
        <v>724</v>
      </c>
      <c r="K5">
        <v>13.131313131313149</v>
      </c>
      <c r="M5" s="7">
        <v>253</v>
      </c>
      <c r="N5" s="10">
        <v>13</v>
      </c>
      <c r="P5" s="9">
        <v>85.277845548922627</v>
      </c>
      <c r="Q5">
        <v>24.242424242424249</v>
      </c>
      <c r="S5" s="9">
        <v>90.925732727720529</v>
      </c>
      <c r="T5">
        <v>291.7</v>
      </c>
      <c r="V5" s="9">
        <v>85.277845548922627</v>
      </c>
      <c r="W5" s="12">
        <v>48.6</v>
      </c>
      <c r="Y5" s="9">
        <v>4.109301698018669</v>
      </c>
      <c r="Z5" s="10">
        <v>13</v>
      </c>
      <c r="AC5" s="14">
        <v>6</v>
      </c>
      <c r="AD5" s="9">
        <v>4.109301698018669</v>
      </c>
    </row>
    <row r="6" spans="1:30" x14ac:dyDescent="0.35">
      <c r="A6" s="7">
        <v>693</v>
      </c>
      <c r="B6" s="13">
        <v>15.666977494613192</v>
      </c>
      <c r="D6" s="7">
        <v>127</v>
      </c>
      <c r="E6" s="15">
        <v>27.748816347273433</v>
      </c>
      <c r="G6">
        <v>258</v>
      </c>
      <c r="H6">
        <v>125.6</v>
      </c>
      <c r="J6" s="7">
        <v>137</v>
      </c>
      <c r="K6">
        <v>24.242424242424249</v>
      </c>
      <c r="M6" s="7">
        <v>693</v>
      </c>
      <c r="N6" s="10">
        <v>38</v>
      </c>
      <c r="P6" s="9">
        <v>73.745285788628138</v>
      </c>
      <c r="Q6">
        <v>172.30769230769232</v>
      </c>
      <c r="S6" s="13">
        <v>63.941935072080298</v>
      </c>
      <c r="T6">
        <v>-32.799999999999997</v>
      </c>
      <c r="V6" s="9">
        <v>73.745285788628138</v>
      </c>
      <c r="W6" s="15">
        <v>27.748816347273433</v>
      </c>
      <c r="Y6" s="13">
        <v>15.666977494613192</v>
      </c>
      <c r="Z6" s="10">
        <v>38</v>
      </c>
      <c r="AC6" s="14">
        <v>7</v>
      </c>
      <c r="AD6" s="13">
        <v>15.666977494613192</v>
      </c>
    </row>
    <row r="7" spans="1:30" x14ac:dyDescent="0.35">
      <c r="A7" s="7">
        <v>602</v>
      </c>
      <c r="B7" s="13">
        <v>9.2025882085526547</v>
      </c>
      <c r="D7" s="5">
        <v>355</v>
      </c>
      <c r="E7" s="16">
        <v>49.995258421188559</v>
      </c>
      <c r="G7">
        <v>349</v>
      </c>
      <c r="H7">
        <v>34.200000000000003</v>
      </c>
      <c r="J7" s="7">
        <v>127</v>
      </c>
      <c r="K7">
        <v>172.30769230769232</v>
      </c>
      <c r="M7" s="7">
        <v>483</v>
      </c>
      <c r="N7" s="10">
        <v>41</v>
      </c>
      <c r="P7" s="9">
        <v>70.186465169944185</v>
      </c>
      <c r="Q7">
        <v>11.02941176470587</v>
      </c>
      <c r="S7" s="9">
        <v>45.729276177167144</v>
      </c>
      <c r="T7">
        <v>264</v>
      </c>
      <c r="V7" s="9">
        <v>70.186465169944185</v>
      </c>
      <c r="W7" s="15">
        <v>46.283776303952052</v>
      </c>
      <c r="Y7" s="13">
        <v>59.437933661638333</v>
      </c>
      <c r="Z7" s="10">
        <v>41</v>
      </c>
      <c r="AC7" s="14">
        <v>6</v>
      </c>
      <c r="AD7" s="13">
        <v>9.2025882085526547</v>
      </c>
    </row>
    <row r="8" spans="1:30" x14ac:dyDescent="0.35">
      <c r="A8" s="7">
        <v>483</v>
      </c>
      <c r="B8" s="13">
        <v>59.437933661638333</v>
      </c>
      <c r="D8" s="7">
        <v>199</v>
      </c>
      <c r="E8" s="15">
        <v>46.283776303952052</v>
      </c>
      <c r="G8">
        <v>245</v>
      </c>
      <c r="H8">
        <v>31.1</v>
      </c>
      <c r="J8" s="5">
        <v>355</v>
      </c>
      <c r="K8">
        <v>16.101694915254257</v>
      </c>
      <c r="M8" s="7">
        <v>815</v>
      </c>
      <c r="N8" s="10">
        <v>56</v>
      </c>
      <c r="S8" s="13">
        <v>78.858124926592097</v>
      </c>
      <c r="T8">
        <v>210.5</v>
      </c>
      <c r="V8" s="13">
        <v>7.6811920742229347</v>
      </c>
      <c r="W8" s="15">
        <v>66.888797806455159</v>
      </c>
      <c r="Y8" s="9">
        <v>56.886928497048395</v>
      </c>
      <c r="Z8" s="10">
        <v>56</v>
      </c>
      <c r="AC8" s="14">
        <v>5</v>
      </c>
      <c r="AD8" s="13">
        <v>59.437933661638333</v>
      </c>
    </row>
    <row r="9" spans="1:30" x14ac:dyDescent="0.35">
      <c r="A9" s="7">
        <v>815</v>
      </c>
      <c r="B9" s="9">
        <v>56.886928497048395</v>
      </c>
      <c r="D9" s="5">
        <v>491</v>
      </c>
      <c r="E9" s="16">
        <v>35.951743947125109</v>
      </c>
      <c r="G9">
        <v>179</v>
      </c>
      <c r="H9">
        <v>291.7</v>
      </c>
      <c r="J9" s="7">
        <v>199</v>
      </c>
      <c r="K9">
        <v>11.02941176470587</v>
      </c>
      <c r="M9" s="7">
        <v>343</v>
      </c>
      <c r="N9" s="10">
        <v>34.965034965034967</v>
      </c>
      <c r="S9" s="13">
        <v>51.079131942415835</v>
      </c>
      <c r="T9">
        <v>105.3</v>
      </c>
      <c r="V9" s="13">
        <v>63.941935072080298</v>
      </c>
      <c r="W9" s="15">
        <v>37.667757464616777</v>
      </c>
      <c r="Y9" s="13">
        <v>31.811743795121643</v>
      </c>
      <c r="Z9" s="10">
        <v>34.965034965034967</v>
      </c>
      <c r="AC9" s="14">
        <v>10</v>
      </c>
      <c r="AD9" s="9">
        <v>56.886928497048395</v>
      </c>
    </row>
    <row r="10" spans="1:30" x14ac:dyDescent="0.35">
      <c r="A10" s="7">
        <v>343</v>
      </c>
      <c r="B10" s="13">
        <v>31.811743795121643</v>
      </c>
      <c r="D10" s="7">
        <v>114</v>
      </c>
      <c r="E10" s="15">
        <v>66.888797806455159</v>
      </c>
      <c r="G10">
        <v>434</v>
      </c>
      <c r="H10">
        <v>-32.799999999999997</v>
      </c>
      <c r="J10" s="5">
        <v>491</v>
      </c>
      <c r="K10">
        <v>76.404494382022477</v>
      </c>
      <c r="M10" s="7">
        <v>126</v>
      </c>
      <c r="N10">
        <v>64</v>
      </c>
      <c r="Y10" s="13">
        <v>11.028814226469478</v>
      </c>
      <c r="Z10" s="10">
        <v>64</v>
      </c>
      <c r="AC10" s="14">
        <v>6</v>
      </c>
      <c r="AD10" s="13">
        <v>31.811743795121643</v>
      </c>
    </row>
    <row r="11" spans="1:30" x14ac:dyDescent="0.35">
      <c r="A11" s="7">
        <v>126</v>
      </c>
      <c r="B11" s="13">
        <v>11.028814226469478</v>
      </c>
      <c r="D11" s="7">
        <v>245</v>
      </c>
      <c r="E11" s="15">
        <v>75.672566410868399</v>
      </c>
      <c r="G11">
        <v>504</v>
      </c>
      <c r="H11">
        <v>264</v>
      </c>
      <c r="J11" s="7"/>
      <c r="M11" s="7">
        <v>245</v>
      </c>
      <c r="N11">
        <v>0</v>
      </c>
      <c r="Y11" s="13">
        <v>21.414725102888809</v>
      </c>
      <c r="Z11" s="10">
        <v>0</v>
      </c>
      <c r="AC11" s="14">
        <v>3</v>
      </c>
      <c r="AD11" s="13">
        <v>11.028814226469478</v>
      </c>
    </row>
    <row r="12" spans="1:30" x14ac:dyDescent="0.35">
      <c r="A12" s="7">
        <v>245</v>
      </c>
      <c r="B12" s="13">
        <v>21.414725102888809</v>
      </c>
      <c r="D12" s="7">
        <v>434</v>
      </c>
      <c r="E12" s="15">
        <v>37.667757464616777</v>
      </c>
      <c r="G12">
        <v>323</v>
      </c>
      <c r="H12">
        <v>210.5</v>
      </c>
      <c r="J12" s="7"/>
      <c r="M12" s="7">
        <v>301</v>
      </c>
      <c r="N12">
        <v>388</v>
      </c>
      <c r="Y12" s="13">
        <v>16.350291227301156</v>
      </c>
      <c r="Z12" s="10">
        <v>388</v>
      </c>
      <c r="AC12" s="14">
        <v>4</v>
      </c>
      <c r="AD12" s="13">
        <v>21.414725102888809</v>
      </c>
    </row>
    <row r="13" spans="1:30" x14ac:dyDescent="0.35">
      <c r="A13" s="7">
        <v>210</v>
      </c>
      <c r="B13" s="13">
        <v>15.887362703540248</v>
      </c>
      <c r="G13">
        <v>267</v>
      </c>
      <c r="H13">
        <v>-56.4</v>
      </c>
      <c r="J13" s="7"/>
      <c r="M13" s="7">
        <v>177</v>
      </c>
      <c r="N13">
        <v>1</v>
      </c>
      <c r="Y13" s="9">
        <v>76.72259388245628</v>
      </c>
      <c r="Z13" s="10">
        <v>1</v>
      </c>
      <c r="AC13" s="14">
        <v>4</v>
      </c>
      <c r="AD13" s="13">
        <v>15.887362703540248</v>
      </c>
    </row>
    <row r="14" spans="1:30" x14ac:dyDescent="0.35">
      <c r="A14" s="7">
        <v>301</v>
      </c>
      <c r="B14" s="13">
        <v>16.350291227301156</v>
      </c>
      <c r="G14">
        <v>1325</v>
      </c>
      <c r="H14">
        <v>105.3</v>
      </c>
      <c r="J14" s="7"/>
      <c r="M14" s="7">
        <v>137</v>
      </c>
      <c r="N14">
        <v>-10</v>
      </c>
      <c r="Y14" s="9">
        <v>85.277845548922627</v>
      </c>
      <c r="Z14" s="10">
        <v>-10</v>
      </c>
      <c r="AC14" s="14">
        <v>2</v>
      </c>
      <c r="AD14" s="13">
        <v>16.350291227301156</v>
      </c>
    </row>
    <row r="15" spans="1:30" x14ac:dyDescent="0.35">
      <c r="A15" s="7">
        <v>177</v>
      </c>
      <c r="B15" s="9">
        <v>76.72259388245628</v>
      </c>
      <c r="J15" s="7"/>
      <c r="M15" s="7">
        <v>127</v>
      </c>
      <c r="N15">
        <v>-21</v>
      </c>
      <c r="Y15" s="9">
        <v>73.745285788628138</v>
      </c>
      <c r="Z15" s="10">
        <v>-21</v>
      </c>
      <c r="AC15" s="14">
        <v>10</v>
      </c>
      <c r="AD15" s="9">
        <v>76.72259388245628</v>
      </c>
    </row>
    <row r="16" spans="1:30" x14ac:dyDescent="0.35">
      <c r="A16" s="7">
        <v>137</v>
      </c>
      <c r="B16" s="9">
        <v>85.277845548922627</v>
      </c>
      <c r="J16" s="7"/>
      <c r="M16" s="5">
        <v>355</v>
      </c>
      <c r="N16">
        <v>15</v>
      </c>
      <c r="Y16" s="9">
        <v>70.186465169944185</v>
      </c>
      <c r="Z16" s="10">
        <v>-7</v>
      </c>
      <c r="AC16" s="14">
        <v>5</v>
      </c>
      <c r="AD16" s="9">
        <v>85.277845548922627</v>
      </c>
    </row>
    <row r="17" spans="1:30" x14ac:dyDescent="0.35">
      <c r="A17" s="7">
        <v>127</v>
      </c>
      <c r="B17" s="9">
        <v>73.745285788628138</v>
      </c>
      <c r="J17" s="7"/>
      <c r="M17" s="7">
        <v>199</v>
      </c>
      <c r="N17">
        <v>-7</v>
      </c>
      <c r="Y17" s="13">
        <v>7.6811920742229347</v>
      </c>
      <c r="Z17" s="10">
        <v>407.40740740740733</v>
      </c>
      <c r="AC17" s="14">
        <v>15</v>
      </c>
      <c r="AD17" s="9">
        <v>73.745285788628138</v>
      </c>
    </row>
    <row r="18" spans="1:30" x14ac:dyDescent="0.35">
      <c r="A18" s="7">
        <v>199</v>
      </c>
      <c r="B18" s="9">
        <v>70.186465169944185</v>
      </c>
      <c r="J18" s="5"/>
      <c r="M18" s="5">
        <v>491</v>
      </c>
      <c r="N18">
        <v>-57</v>
      </c>
      <c r="Y18" s="13">
        <v>63.941935072080298</v>
      </c>
      <c r="Z18" s="10">
        <v>-13</v>
      </c>
      <c r="AC18" s="14">
        <v>4</v>
      </c>
      <c r="AD18" s="9">
        <v>70.186465169944185</v>
      </c>
    </row>
    <row r="19" spans="1:30" x14ac:dyDescent="0.35">
      <c r="A19" s="7">
        <v>114</v>
      </c>
      <c r="B19" s="13">
        <v>7.6811920742229347</v>
      </c>
      <c r="J19" s="7"/>
      <c r="M19" s="7">
        <v>114</v>
      </c>
      <c r="N19" s="10">
        <v>407.40740740740733</v>
      </c>
      <c r="AC19" s="14">
        <v>6</v>
      </c>
      <c r="AD19" s="13">
        <v>7.6811920742229347</v>
      </c>
    </row>
    <row r="20" spans="1:30" x14ac:dyDescent="0.35">
      <c r="A20" s="7">
        <v>349</v>
      </c>
      <c r="B20" s="13">
        <v>92.436130307172846</v>
      </c>
      <c r="J20" s="7"/>
      <c r="M20" s="7">
        <v>258</v>
      </c>
      <c r="N20">
        <v>76</v>
      </c>
      <c r="AC20" s="14">
        <v>4</v>
      </c>
      <c r="AD20" s="13">
        <v>92.436130307172846</v>
      </c>
    </row>
    <row r="21" spans="1:30" x14ac:dyDescent="0.35">
      <c r="A21" s="7">
        <v>179</v>
      </c>
      <c r="B21" s="9">
        <v>90.925732727720529</v>
      </c>
      <c r="J21" s="7"/>
      <c r="M21" s="7">
        <v>245</v>
      </c>
      <c r="N21">
        <v>0</v>
      </c>
      <c r="AC21" s="14">
        <v>4</v>
      </c>
      <c r="AD21" s="9">
        <v>90.925732727720529</v>
      </c>
    </row>
    <row r="22" spans="1:30" x14ac:dyDescent="0.35">
      <c r="A22" s="7">
        <v>434</v>
      </c>
      <c r="B22" s="13">
        <v>63.941935072080298</v>
      </c>
      <c r="J22" s="7"/>
      <c r="M22" s="7">
        <v>434</v>
      </c>
      <c r="N22">
        <v>-13</v>
      </c>
      <c r="AC22" s="14">
        <v>4</v>
      </c>
      <c r="AD22" s="13">
        <v>63.941935072080298</v>
      </c>
    </row>
    <row r="23" spans="1:30" x14ac:dyDescent="0.35">
      <c r="A23" s="7">
        <v>504</v>
      </c>
      <c r="B23" s="9">
        <v>45.729276177167144</v>
      </c>
      <c r="J23" s="7"/>
      <c r="N23">
        <f>AVERAGE(N2:N22)</f>
        <v>68.36938370271703</v>
      </c>
      <c r="AC23" s="14">
        <v>5</v>
      </c>
      <c r="AD23" s="9">
        <v>45.729276177167144</v>
      </c>
    </row>
    <row r="24" spans="1:30" x14ac:dyDescent="0.35">
      <c r="A24" s="5">
        <v>306</v>
      </c>
      <c r="B24" s="6">
        <v>97.231470583890683</v>
      </c>
      <c r="AC24" s="17">
        <v>13</v>
      </c>
      <c r="AD24" s="6">
        <v>97.231470583890683</v>
      </c>
    </row>
    <row r="25" spans="1:30" x14ac:dyDescent="0.35">
      <c r="A25" s="7">
        <v>323</v>
      </c>
      <c r="B25" s="13">
        <v>78.858124926592097</v>
      </c>
      <c r="AC25" s="14">
        <v>3</v>
      </c>
      <c r="AD25" s="13">
        <v>78.858124926592097</v>
      </c>
    </row>
    <row r="26" spans="1:30" x14ac:dyDescent="0.35">
      <c r="A26" s="7">
        <v>1325</v>
      </c>
      <c r="B26" s="13">
        <v>51.079131942415835</v>
      </c>
      <c r="AC26" s="14">
        <v>2</v>
      </c>
      <c r="AD26" s="13">
        <v>51.079131942415835</v>
      </c>
    </row>
    <row r="27" spans="1:30" x14ac:dyDescent="0.35">
      <c r="A27" s="7">
        <v>310</v>
      </c>
      <c r="B27" s="13">
        <v>70.849149986403745</v>
      </c>
      <c r="AC27" s="14">
        <v>7</v>
      </c>
      <c r="AD27" s="13">
        <v>70.849149986403745</v>
      </c>
    </row>
    <row r="28" spans="1:30" x14ac:dyDescent="0.35">
      <c r="A28" s="7">
        <v>291</v>
      </c>
      <c r="B28" s="13">
        <v>60.083480989454991</v>
      </c>
      <c r="AC28" s="14">
        <v>4</v>
      </c>
      <c r="AD28" s="13">
        <v>60.083480989454991</v>
      </c>
    </row>
    <row r="29" spans="1:30" x14ac:dyDescent="0.35">
      <c r="B29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8"/>
  <sheetViews>
    <sheetView workbookViewId="0">
      <selection activeCell="E6" sqref="E6"/>
    </sheetView>
  </sheetViews>
  <sheetFormatPr defaultRowHeight="14.5" x14ac:dyDescent="0.35"/>
  <sheetData>
    <row r="1" spans="1:42" x14ac:dyDescent="0.35">
      <c r="J1" s="14"/>
      <c r="K1" s="14"/>
      <c r="L1" s="14"/>
      <c r="M1" s="14"/>
      <c r="N1" s="14"/>
      <c r="O1" s="19"/>
      <c r="P1" s="20"/>
      <c r="Q1" s="14"/>
      <c r="R1" s="14"/>
      <c r="AL1" t="s">
        <v>10</v>
      </c>
      <c r="AO1" t="s">
        <v>11</v>
      </c>
    </row>
    <row r="2" spans="1:42" ht="72.5" x14ac:dyDescent="0.35">
      <c r="A2" s="21" t="s">
        <v>12</v>
      </c>
      <c r="B2" s="1" t="s">
        <v>1</v>
      </c>
      <c r="C2" s="21" t="s">
        <v>12</v>
      </c>
      <c r="D2" t="s">
        <v>8</v>
      </c>
      <c r="E2" s="21" t="s">
        <v>12</v>
      </c>
      <c r="F2" s="21" t="s">
        <v>13</v>
      </c>
      <c r="G2" s="21" t="s">
        <v>12</v>
      </c>
      <c r="H2" s="22" t="s">
        <v>14</v>
      </c>
      <c r="I2" s="22" t="s">
        <v>12</v>
      </c>
      <c r="J2" s="22" t="s">
        <v>15</v>
      </c>
      <c r="K2" s="22" t="s">
        <v>12</v>
      </c>
      <c r="L2" s="21" t="s">
        <v>16</v>
      </c>
      <c r="M2" s="21"/>
      <c r="N2" s="21" t="s">
        <v>12</v>
      </c>
      <c r="O2" s="3" t="s">
        <v>3</v>
      </c>
      <c r="P2" s="21" t="s">
        <v>12</v>
      </c>
      <c r="Q2" s="3" t="s">
        <v>17</v>
      </c>
      <c r="R2" s="21" t="s">
        <v>12</v>
      </c>
      <c r="S2" s="23" t="s">
        <v>18</v>
      </c>
      <c r="U2" s="21" t="s">
        <v>12</v>
      </c>
      <c r="V2" s="1" t="s">
        <v>19</v>
      </c>
      <c r="X2" s="21" t="s">
        <v>12</v>
      </c>
      <c r="Y2" s="21" t="s">
        <v>20</v>
      </c>
      <c r="Z2" s="21" t="s">
        <v>2</v>
      </c>
      <c r="AB2" s="21" t="s">
        <v>12</v>
      </c>
      <c r="AC2" t="s">
        <v>21</v>
      </c>
      <c r="AE2" s="21" t="s">
        <v>12</v>
      </c>
      <c r="AF2" t="s">
        <v>22</v>
      </c>
      <c r="AG2" s="21" t="s">
        <v>12</v>
      </c>
      <c r="AH2" t="s">
        <v>23</v>
      </c>
      <c r="AI2" s="21" t="s">
        <v>12</v>
      </c>
      <c r="AJ2" t="s">
        <v>24</v>
      </c>
      <c r="AL2" s="21" t="s">
        <v>25</v>
      </c>
      <c r="AM2" s="21" t="s">
        <v>26</v>
      </c>
      <c r="AN2" s="21" t="s">
        <v>27</v>
      </c>
      <c r="AO2" s="21" t="s">
        <v>28</v>
      </c>
      <c r="AP2" s="21" t="s">
        <v>29</v>
      </c>
    </row>
    <row r="3" spans="1:42" x14ac:dyDescent="0.35">
      <c r="A3" s="24">
        <v>0</v>
      </c>
      <c r="B3" s="7">
        <v>259</v>
      </c>
      <c r="C3" s="7">
        <v>0</v>
      </c>
      <c r="D3" s="10">
        <v>55.929231400527222</v>
      </c>
      <c r="E3">
        <v>0</v>
      </c>
      <c r="F3" s="25">
        <f>AVERAGE(66.5, 140.6)</f>
        <v>103.55</v>
      </c>
      <c r="G3" s="25">
        <v>0</v>
      </c>
      <c r="H3" s="25">
        <f>AVERAGE(8.4, 6.9)</f>
        <v>7.65</v>
      </c>
      <c r="I3" s="25">
        <v>0</v>
      </c>
      <c r="J3" s="25">
        <f>AVERAGE(36, 38)</f>
        <v>37</v>
      </c>
      <c r="K3" s="25">
        <v>0</v>
      </c>
      <c r="L3" s="26">
        <v>5.25</v>
      </c>
      <c r="M3" s="26"/>
      <c r="N3" s="27">
        <v>0</v>
      </c>
      <c r="O3" s="12">
        <v>45</v>
      </c>
      <c r="P3" s="27">
        <v>0</v>
      </c>
      <c r="Q3" s="15">
        <v>7.8947368421052602</v>
      </c>
      <c r="R3">
        <v>0</v>
      </c>
      <c r="S3">
        <v>125.6</v>
      </c>
      <c r="U3" s="24">
        <v>0</v>
      </c>
      <c r="V3" s="28">
        <v>65</v>
      </c>
      <c r="AB3">
        <v>0</v>
      </c>
      <c r="AC3">
        <v>26.5</v>
      </c>
      <c r="AE3" s="24">
        <v>0</v>
      </c>
      <c r="AF3">
        <v>-13</v>
      </c>
      <c r="AG3" s="24">
        <v>0</v>
      </c>
      <c r="AH3">
        <v>1.3</v>
      </c>
      <c r="AI3" s="24">
        <v>0</v>
      </c>
      <c r="AJ3">
        <v>1.1000000000000001</v>
      </c>
      <c r="AL3" s="27">
        <v>2.5</v>
      </c>
      <c r="AM3" s="27">
        <v>9.5</v>
      </c>
      <c r="AN3" s="29">
        <f>(AM3/AL3) *100</f>
        <v>380</v>
      </c>
      <c r="AO3">
        <v>0.13</v>
      </c>
      <c r="AP3">
        <v>0.02</v>
      </c>
    </row>
    <row r="4" spans="1:42" x14ac:dyDescent="0.35">
      <c r="A4" s="24">
        <v>0</v>
      </c>
      <c r="B4" s="7">
        <v>693</v>
      </c>
      <c r="C4" s="7">
        <v>0</v>
      </c>
      <c r="D4" s="10">
        <v>15.666977494613192</v>
      </c>
      <c r="E4">
        <v>0</v>
      </c>
      <c r="F4" s="25">
        <f>AVERAGE(12.9, 16.1, 12.3)</f>
        <v>13.766666666666666</v>
      </c>
      <c r="G4" s="25">
        <v>0</v>
      </c>
      <c r="H4" s="25">
        <f>AVERAGE(9.1, 7.3, 6.9)</f>
        <v>7.7666666666666657</v>
      </c>
      <c r="I4" s="25">
        <v>0</v>
      </c>
      <c r="J4" s="25">
        <f>AVERAGE(41, 41, 40)</f>
        <v>40.666666666666664</v>
      </c>
      <c r="K4" s="25">
        <v>0</v>
      </c>
      <c r="L4" s="26">
        <v>9</v>
      </c>
      <c r="M4" s="26"/>
      <c r="N4">
        <v>0</v>
      </c>
      <c r="O4" s="15">
        <v>66.888797806455159</v>
      </c>
      <c r="P4" s="27">
        <v>0</v>
      </c>
      <c r="Q4" s="15">
        <v>-7.4380165289256013</v>
      </c>
      <c r="R4">
        <v>0</v>
      </c>
      <c r="S4">
        <v>34.200000000000003</v>
      </c>
      <c r="U4" s="24">
        <v>0</v>
      </c>
      <c r="V4" s="28">
        <v>56</v>
      </c>
      <c r="X4" s="24">
        <v>0</v>
      </c>
      <c r="Y4" s="24"/>
      <c r="Z4" s="13">
        <v>55.929231400527222</v>
      </c>
      <c r="AB4">
        <v>0</v>
      </c>
      <c r="AC4">
        <v>25.8</v>
      </c>
      <c r="AE4" s="30">
        <v>0</v>
      </c>
      <c r="AF4">
        <v>-90</v>
      </c>
      <c r="AG4" s="30">
        <v>0</v>
      </c>
      <c r="AH4">
        <v>35</v>
      </c>
      <c r="AI4" s="31">
        <v>0</v>
      </c>
      <c r="AJ4">
        <v>3.5</v>
      </c>
      <c r="AL4" s="31">
        <v>4.5</v>
      </c>
      <c r="AM4" s="31">
        <v>4</v>
      </c>
      <c r="AN4" s="29">
        <v>-11</v>
      </c>
      <c r="AO4">
        <v>0.11</v>
      </c>
      <c r="AP4">
        <v>0.01</v>
      </c>
    </row>
    <row r="5" spans="1:42" x14ac:dyDescent="0.35">
      <c r="A5" s="24">
        <v>0</v>
      </c>
      <c r="B5" s="7">
        <v>602</v>
      </c>
      <c r="C5" s="7">
        <v>0</v>
      </c>
      <c r="D5" s="10">
        <v>9.2025882085526547</v>
      </c>
      <c r="E5">
        <v>0</v>
      </c>
      <c r="F5" s="25">
        <f>AVERAGE(180.8, 191.6, 29.4)</f>
        <v>133.93333333333331</v>
      </c>
      <c r="G5" s="25">
        <v>0</v>
      </c>
      <c r="H5" s="25">
        <f>AVERAGE(12, 9.3, 7.1, 7.1)</f>
        <v>8.875</v>
      </c>
      <c r="I5" s="25">
        <v>0</v>
      </c>
      <c r="J5" s="25">
        <f>AVERAGE(38, 37, 36, 35)</f>
        <v>36.5</v>
      </c>
      <c r="K5" s="25">
        <v>0</v>
      </c>
      <c r="L5" s="26">
        <v>5</v>
      </c>
      <c r="M5" s="26"/>
      <c r="N5">
        <v>0</v>
      </c>
      <c r="O5" s="15">
        <v>75.672566410868399</v>
      </c>
      <c r="P5">
        <v>0</v>
      </c>
      <c r="Q5" s="15">
        <v>13.131313131313149</v>
      </c>
      <c r="R5">
        <v>0</v>
      </c>
      <c r="S5">
        <v>31.1</v>
      </c>
      <c r="U5" s="24">
        <v>0</v>
      </c>
      <c r="V5" s="28">
        <v>69</v>
      </c>
      <c r="X5" s="24">
        <v>0</v>
      </c>
      <c r="Y5" s="24"/>
      <c r="Z5" s="13">
        <v>15.666977494613192</v>
      </c>
      <c r="AB5">
        <v>0</v>
      </c>
      <c r="AC5">
        <v>26</v>
      </c>
      <c r="AE5" s="30">
        <v>0</v>
      </c>
      <c r="AF5">
        <v>2.1</v>
      </c>
      <c r="AG5" s="30">
        <v>0</v>
      </c>
      <c r="AH5">
        <v>1.3</v>
      </c>
      <c r="AI5" s="31">
        <v>0</v>
      </c>
      <c r="AJ5">
        <v>1.5</v>
      </c>
      <c r="AL5" s="26">
        <v>13</v>
      </c>
      <c r="AM5" s="26">
        <v>5.25</v>
      </c>
      <c r="AN5" s="29">
        <v>-60</v>
      </c>
      <c r="AO5">
        <v>0.37</v>
      </c>
      <c r="AP5">
        <v>0.23</v>
      </c>
    </row>
    <row r="6" spans="1:42" x14ac:dyDescent="0.35">
      <c r="A6" s="24">
        <v>0</v>
      </c>
      <c r="B6" s="7">
        <v>483</v>
      </c>
      <c r="C6" s="7">
        <v>0</v>
      </c>
      <c r="D6" s="10">
        <v>59.437933661638333</v>
      </c>
      <c r="E6">
        <v>0</v>
      </c>
      <c r="F6" s="25">
        <v>55.4</v>
      </c>
      <c r="G6" s="25">
        <v>0</v>
      </c>
      <c r="H6" s="25">
        <f>AVERAGE(13.9, 12)</f>
        <v>12.95</v>
      </c>
      <c r="I6" s="25">
        <v>0</v>
      </c>
      <c r="J6" s="25">
        <f>AVERAGE(37, 36)</f>
        <v>36.5</v>
      </c>
      <c r="K6" s="25">
        <v>0</v>
      </c>
      <c r="L6" s="26">
        <v>13</v>
      </c>
      <c r="M6" s="26"/>
      <c r="N6">
        <v>0</v>
      </c>
      <c r="O6" s="15">
        <v>37.667757464616777</v>
      </c>
      <c r="P6">
        <v>1</v>
      </c>
      <c r="Q6" s="15">
        <v>24.242424242424249</v>
      </c>
      <c r="R6">
        <v>0</v>
      </c>
      <c r="S6">
        <v>291.7</v>
      </c>
      <c r="U6" s="24">
        <v>0</v>
      </c>
      <c r="V6" s="28">
        <v>50</v>
      </c>
      <c r="X6" s="24">
        <v>0</v>
      </c>
      <c r="Y6" s="24"/>
      <c r="Z6" s="13">
        <v>9.2025882085526547</v>
      </c>
      <c r="AB6">
        <v>0</v>
      </c>
      <c r="AC6">
        <v>23.5</v>
      </c>
      <c r="AE6" s="30">
        <v>0</v>
      </c>
      <c r="AF6">
        <v>1.9</v>
      </c>
      <c r="AG6" s="30">
        <v>0</v>
      </c>
      <c r="AH6">
        <v>1.5</v>
      </c>
      <c r="AI6" s="31">
        <v>0</v>
      </c>
      <c r="AJ6">
        <v>2.2000000000000002</v>
      </c>
      <c r="AL6" s="26">
        <v>6</v>
      </c>
      <c r="AM6" s="26">
        <v>6.75</v>
      </c>
      <c r="AN6" s="29">
        <v>13</v>
      </c>
      <c r="AO6">
        <v>0.98</v>
      </c>
      <c r="AP6">
        <v>0.01</v>
      </c>
    </row>
    <row r="7" spans="1:42" x14ac:dyDescent="0.35">
      <c r="A7" s="32">
        <v>0</v>
      </c>
      <c r="B7" s="7">
        <v>343</v>
      </c>
      <c r="C7" s="7">
        <v>0</v>
      </c>
      <c r="D7" s="10">
        <v>31.811743795121643</v>
      </c>
      <c r="E7">
        <v>0</v>
      </c>
      <c r="F7" s="25">
        <f>AVERAGE(40.4, 179.8, 113.5)</f>
        <v>111.23333333333335</v>
      </c>
      <c r="G7" s="25">
        <v>0</v>
      </c>
      <c r="H7" s="25">
        <f>AVERAGE(8.6, 8.3, 5.4, 5.4)</f>
        <v>6.9249999999999989</v>
      </c>
      <c r="I7" s="25">
        <v>0</v>
      </c>
      <c r="J7" s="25">
        <f>AVERAGE(42, 36, 42)</f>
        <v>40</v>
      </c>
      <c r="K7" s="25">
        <v>0</v>
      </c>
      <c r="L7" s="26">
        <v>7</v>
      </c>
      <c r="M7" s="26"/>
      <c r="N7">
        <v>1</v>
      </c>
      <c r="O7" s="15">
        <v>41.3207155020323</v>
      </c>
      <c r="P7">
        <v>1</v>
      </c>
      <c r="Q7" s="33">
        <v>172.30769230769232</v>
      </c>
      <c r="R7">
        <v>0</v>
      </c>
      <c r="S7">
        <v>264</v>
      </c>
      <c r="U7" s="32">
        <v>0</v>
      </c>
      <c r="V7" s="28">
        <v>48</v>
      </c>
      <c r="X7" s="24">
        <v>0</v>
      </c>
      <c r="Y7" s="24"/>
      <c r="Z7" s="13">
        <v>59.437933661638333</v>
      </c>
      <c r="AB7">
        <v>0</v>
      </c>
      <c r="AC7">
        <v>22.8</v>
      </c>
      <c r="AE7" s="31">
        <v>0</v>
      </c>
      <c r="AF7">
        <v>1.3</v>
      </c>
      <c r="AG7" s="31">
        <v>0</v>
      </c>
      <c r="AH7">
        <v>-40</v>
      </c>
      <c r="AI7" s="31">
        <v>0</v>
      </c>
      <c r="AJ7">
        <v>23.51</v>
      </c>
      <c r="AL7" s="26">
        <v>6.5</v>
      </c>
      <c r="AM7" s="26">
        <v>9</v>
      </c>
      <c r="AN7" s="29">
        <v>38</v>
      </c>
      <c r="AO7">
        <v>5.36</v>
      </c>
      <c r="AP7">
        <v>0.86</v>
      </c>
    </row>
    <row r="8" spans="1:42" x14ac:dyDescent="0.35">
      <c r="A8" s="30">
        <v>0</v>
      </c>
      <c r="B8" s="7">
        <v>126</v>
      </c>
      <c r="C8" s="7">
        <v>0</v>
      </c>
      <c r="D8" s="10">
        <v>11.028814226469478</v>
      </c>
      <c r="E8">
        <v>0</v>
      </c>
      <c r="F8" s="25">
        <f>AVERAGE(84.5)</f>
        <v>84.5</v>
      </c>
      <c r="G8" s="25">
        <v>0</v>
      </c>
      <c r="H8" s="25">
        <f>AVERAGE(10, 9.3)</f>
        <v>9.65</v>
      </c>
      <c r="I8" s="25">
        <v>0</v>
      </c>
      <c r="J8" s="25">
        <f>AVERAGE(39, 39)</f>
        <v>39</v>
      </c>
      <c r="K8" s="25">
        <v>0</v>
      </c>
      <c r="L8" s="26">
        <v>2.5</v>
      </c>
      <c r="M8" s="26"/>
      <c r="N8">
        <v>1</v>
      </c>
      <c r="O8" s="12">
        <v>48.6</v>
      </c>
      <c r="P8">
        <v>1</v>
      </c>
      <c r="Q8" s="33">
        <v>16.101694915254257</v>
      </c>
      <c r="R8">
        <v>0</v>
      </c>
      <c r="S8">
        <v>-56.4</v>
      </c>
      <c r="U8" s="30">
        <v>0</v>
      </c>
      <c r="V8" s="28">
        <v>34</v>
      </c>
      <c r="X8" s="32">
        <v>0</v>
      </c>
      <c r="Y8" s="32"/>
      <c r="Z8" s="13">
        <v>31.811743795121643</v>
      </c>
      <c r="AB8">
        <v>1</v>
      </c>
      <c r="AC8">
        <v>29.5</v>
      </c>
      <c r="AE8" s="31">
        <v>0</v>
      </c>
      <c r="AF8">
        <v>-31</v>
      </c>
      <c r="AG8" s="31">
        <v>0</v>
      </c>
      <c r="AH8">
        <v>-53</v>
      </c>
      <c r="AI8" s="24">
        <v>1</v>
      </c>
      <c r="AJ8">
        <v>5.9</v>
      </c>
      <c r="AL8" s="26">
        <v>9.25</v>
      </c>
      <c r="AM8" s="26">
        <v>13</v>
      </c>
      <c r="AN8" s="29">
        <v>41</v>
      </c>
      <c r="AO8">
        <v>7.0000000000000007E-2</v>
      </c>
      <c r="AP8">
        <v>0.02</v>
      </c>
    </row>
    <row r="9" spans="1:42" x14ac:dyDescent="0.35">
      <c r="A9" s="30">
        <v>0</v>
      </c>
      <c r="B9" s="7">
        <v>724</v>
      </c>
      <c r="C9" s="7">
        <v>0</v>
      </c>
      <c r="D9" s="10">
        <v>21.414725102888809</v>
      </c>
      <c r="E9">
        <v>0</v>
      </c>
      <c r="F9" s="25">
        <f>AVERAGE(208, 50.7)</f>
        <v>129.35</v>
      </c>
      <c r="G9" s="25">
        <v>0</v>
      </c>
      <c r="H9" s="25">
        <f>AVERAGE(11.5, 8.5)</f>
        <v>10</v>
      </c>
      <c r="I9" s="25">
        <v>0</v>
      </c>
      <c r="J9" s="25">
        <f>AVERAGE(36)</f>
        <v>36</v>
      </c>
      <c r="K9" s="25">
        <v>0</v>
      </c>
      <c r="L9" s="26">
        <v>7.4</v>
      </c>
      <c r="M9" s="26"/>
      <c r="N9">
        <v>1</v>
      </c>
      <c r="O9" s="15">
        <v>27.748816347273433</v>
      </c>
      <c r="P9">
        <v>1</v>
      </c>
      <c r="Q9" s="33">
        <v>11.02941176470587</v>
      </c>
      <c r="R9">
        <v>1</v>
      </c>
      <c r="S9">
        <v>18.600000000000001</v>
      </c>
      <c r="U9" s="30">
        <v>0</v>
      </c>
      <c r="V9" s="28">
        <v>71</v>
      </c>
      <c r="X9" s="30">
        <v>0</v>
      </c>
      <c r="Y9" s="30"/>
      <c r="Z9" s="13">
        <v>11.028814226469478</v>
      </c>
      <c r="AB9">
        <v>1</v>
      </c>
      <c r="AC9">
        <v>26.6</v>
      </c>
      <c r="AE9" s="31">
        <v>0</v>
      </c>
      <c r="AF9">
        <v>5.4</v>
      </c>
      <c r="AG9" s="31">
        <v>0</v>
      </c>
      <c r="AH9">
        <v>1.7</v>
      </c>
      <c r="AI9" s="31">
        <v>1</v>
      </c>
      <c r="AJ9">
        <v>22.4</v>
      </c>
      <c r="AL9" s="26">
        <v>4.5</v>
      </c>
      <c r="AM9" s="26">
        <v>7</v>
      </c>
      <c r="AN9" s="29">
        <v>56</v>
      </c>
      <c r="AO9">
        <v>0.01</v>
      </c>
      <c r="AP9">
        <v>0.05</v>
      </c>
    </row>
    <row r="10" spans="1:42" x14ac:dyDescent="0.35">
      <c r="A10" s="30">
        <v>0</v>
      </c>
      <c r="B10" s="7">
        <v>245</v>
      </c>
      <c r="C10" s="7">
        <v>0</v>
      </c>
      <c r="D10" s="10">
        <v>15.887362703540248</v>
      </c>
      <c r="E10">
        <v>0</v>
      </c>
      <c r="F10" s="25">
        <f>AVERAGE(73.9, 70.7)</f>
        <v>72.300000000000011</v>
      </c>
      <c r="G10" s="25">
        <v>0</v>
      </c>
      <c r="H10" s="25">
        <f>AVERAGE(10.4, 7.7, 7.4)</f>
        <v>8.5</v>
      </c>
      <c r="I10" s="25">
        <v>0</v>
      </c>
      <c r="J10" s="25">
        <f>AVERAGE(43, 36)</f>
        <v>39.5</v>
      </c>
      <c r="K10" s="25">
        <v>0</v>
      </c>
      <c r="L10" s="26">
        <v>5</v>
      </c>
      <c r="M10" s="26"/>
      <c r="N10">
        <v>1</v>
      </c>
      <c r="O10" s="16">
        <v>49.995258421188559</v>
      </c>
      <c r="P10">
        <v>1</v>
      </c>
      <c r="Q10" s="33">
        <v>76.404494382022477</v>
      </c>
      <c r="R10">
        <v>1</v>
      </c>
      <c r="S10">
        <v>-60.8</v>
      </c>
      <c r="U10" s="30">
        <v>0</v>
      </c>
      <c r="V10" s="28">
        <v>17</v>
      </c>
      <c r="X10" s="30">
        <v>0</v>
      </c>
      <c r="Y10" s="30"/>
      <c r="Z10" s="13">
        <v>21.414725102888809</v>
      </c>
      <c r="AB10">
        <v>1</v>
      </c>
      <c r="AC10">
        <v>25</v>
      </c>
      <c r="AE10" s="31">
        <v>0</v>
      </c>
      <c r="AF10">
        <v>1.7</v>
      </c>
      <c r="AG10" s="31">
        <v>0</v>
      </c>
      <c r="AH10">
        <v>-60</v>
      </c>
      <c r="AI10" s="31">
        <v>1</v>
      </c>
      <c r="AJ10">
        <v>1.1000000000000001</v>
      </c>
      <c r="AL10" s="26">
        <v>7.15</v>
      </c>
      <c r="AM10" s="26">
        <v>2.5</v>
      </c>
      <c r="AN10" s="29">
        <v>-65</v>
      </c>
      <c r="AO10">
        <v>0.24</v>
      </c>
      <c r="AP10">
        <v>0.02</v>
      </c>
    </row>
    <row r="11" spans="1:42" x14ac:dyDescent="0.35">
      <c r="A11" s="30">
        <v>0</v>
      </c>
      <c r="B11" s="7">
        <v>210</v>
      </c>
      <c r="C11" s="7">
        <v>0</v>
      </c>
      <c r="D11" s="10">
        <v>16.350291227301156</v>
      </c>
      <c r="E11">
        <v>0</v>
      </c>
      <c r="F11" s="25">
        <f>AVERAGE(130.9, 60.3)</f>
        <v>95.6</v>
      </c>
      <c r="G11" s="25">
        <v>0</v>
      </c>
      <c r="H11" s="25">
        <f>AVERAGE(8.91, 7.16)</f>
        <v>8.0350000000000001</v>
      </c>
      <c r="I11" s="25">
        <v>0</v>
      </c>
      <c r="J11" s="25">
        <f>AVERAGE(35, 36)</f>
        <v>35.5</v>
      </c>
      <c r="K11" s="25">
        <v>0</v>
      </c>
      <c r="L11" s="26">
        <v>9.6999999999999993</v>
      </c>
      <c r="M11" s="26"/>
      <c r="N11">
        <v>1</v>
      </c>
      <c r="O11" s="15">
        <v>46.283776303952052</v>
      </c>
      <c r="P11" s="26">
        <v>1</v>
      </c>
      <c r="Q11" s="15">
        <v>4.8192771084337522</v>
      </c>
      <c r="R11">
        <v>1</v>
      </c>
      <c r="S11">
        <v>26.7</v>
      </c>
      <c r="U11" s="30">
        <v>0</v>
      </c>
      <c r="V11" s="28">
        <v>27</v>
      </c>
      <c r="X11" s="30">
        <v>0</v>
      </c>
      <c r="Y11" s="30"/>
      <c r="Z11" s="13">
        <v>15.887362703540248</v>
      </c>
      <c r="AB11">
        <v>1</v>
      </c>
      <c r="AC11">
        <v>30</v>
      </c>
      <c r="AE11" s="31">
        <v>0</v>
      </c>
      <c r="AF11">
        <v>2.2999999999999998</v>
      </c>
      <c r="AG11" s="31">
        <v>0</v>
      </c>
      <c r="AH11">
        <v>249</v>
      </c>
      <c r="AI11" s="31">
        <v>1</v>
      </c>
      <c r="AJ11">
        <v>1.05</v>
      </c>
      <c r="AL11" s="26">
        <v>4.5</v>
      </c>
      <c r="AM11" s="26">
        <v>7.4</v>
      </c>
      <c r="AN11" s="29">
        <v>64</v>
      </c>
      <c r="AO11">
        <v>2.86</v>
      </c>
      <c r="AP11">
        <v>0.08</v>
      </c>
    </row>
    <row r="12" spans="1:42" x14ac:dyDescent="0.35">
      <c r="A12" s="30">
        <v>0</v>
      </c>
      <c r="B12" s="7">
        <v>301</v>
      </c>
      <c r="C12" s="7">
        <v>0</v>
      </c>
      <c r="D12" s="10">
        <v>7.6811920742229347</v>
      </c>
      <c r="E12">
        <v>0</v>
      </c>
      <c r="F12" s="25">
        <f>AVERAGE(83)</f>
        <v>83</v>
      </c>
      <c r="G12" s="25">
        <v>0</v>
      </c>
      <c r="H12" s="25">
        <v>6.2</v>
      </c>
      <c r="I12" s="25">
        <v>0</v>
      </c>
      <c r="J12" s="25">
        <f>AVERAGE(41)</f>
        <v>41</v>
      </c>
      <c r="K12" s="25">
        <v>0</v>
      </c>
      <c r="L12" s="26">
        <v>5</v>
      </c>
      <c r="M12" s="26"/>
      <c r="N12">
        <v>1</v>
      </c>
      <c r="O12" s="16">
        <v>35.951743947125109</v>
      </c>
      <c r="R12">
        <v>1</v>
      </c>
      <c r="S12">
        <v>38.5</v>
      </c>
      <c r="U12" s="30">
        <v>0</v>
      </c>
      <c r="V12" s="28">
        <v>70</v>
      </c>
      <c r="X12" s="30">
        <v>0</v>
      </c>
      <c r="Y12" s="30"/>
      <c r="Z12" s="13">
        <v>16.350291227301156</v>
      </c>
      <c r="AB12">
        <v>1</v>
      </c>
      <c r="AC12">
        <v>26.7</v>
      </c>
      <c r="AE12" s="31">
        <v>0</v>
      </c>
      <c r="AF12">
        <v>-26</v>
      </c>
      <c r="AG12" s="31">
        <v>0</v>
      </c>
      <c r="AH12">
        <v>-40</v>
      </c>
      <c r="AL12" s="26">
        <v>5</v>
      </c>
      <c r="AM12" s="26">
        <v>5</v>
      </c>
      <c r="AN12" s="29">
        <v>0</v>
      </c>
      <c r="AO12">
        <v>0.12</v>
      </c>
      <c r="AP12">
        <v>0.06</v>
      </c>
    </row>
    <row r="13" spans="1:42" x14ac:dyDescent="0.35">
      <c r="A13" s="21">
        <v>0</v>
      </c>
      <c r="B13" s="7">
        <v>284</v>
      </c>
      <c r="C13" s="7">
        <v>0</v>
      </c>
      <c r="D13" s="10">
        <v>92.436130307172846</v>
      </c>
      <c r="E13">
        <v>0</v>
      </c>
      <c r="F13" s="25">
        <f>AVERAGE(82.1)</f>
        <v>82.1</v>
      </c>
      <c r="G13" s="25">
        <v>0</v>
      </c>
      <c r="H13" s="25">
        <f>AVERAGE(11.3, 10.3)</f>
        <v>10.8</v>
      </c>
      <c r="I13" s="25">
        <v>0</v>
      </c>
      <c r="J13" s="25">
        <f>AVERAGE(33, 34, 31)</f>
        <v>32.666666666666664</v>
      </c>
      <c r="K13" s="25">
        <v>0</v>
      </c>
      <c r="L13" s="26">
        <v>4.1500000000000004</v>
      </c>
      <c r="M13" s="26"/>
      <c r="N13" s="26">
        <v>1</v>
      </c>
      <c r="O13" s="8">
        <v>41.70125404437983</v>
      </c>
      <c r="P13" t="s">
        <v>30</v>
      </c>
      <c r="Q13">
        <f>TTEST(Q3:Q5,Q6:Q11,2,2)</f>
        <v>0.27357112429662117</v>
      </c>
      <c r="R13">
        <v>1</v>
      </c>
      <c r="S13">
        <v>-32.799999999999997</v>
      </c>
      <c r="U13" s="21">
        <v>0</v>
      </c>
      <c r="V13" s="28">
        <v>77</v>
      </c>
      <c r="X13" s="31">
        <v>0</v>
      </c>
      <c r="Y13" s="31"/>
      <c r="Z13" s="13">
        <v>7.6811920742229347</v>
      </c>
      <c r="AB13">
        <v>1</v>
      </c>
      <c r="AC13">
        <v>22.8</v>
      </c>
      <c r="AE13" s="24">
        <v>1</v>
      </c>
      <c r="AF13">
        <v>3.5</v>
      </c>
      <c r="AG13" s="31">
        <v>0</v>
      </c>
      <c r="AH13">
        <v>1.6</v>
      </c>
      <c r="AJ13">
        <f>TTEST(AJ3:AJ7,AJ8:AJ11,2,2)</f>
        <v>0.85514123981737766</v>
      </c>
      <c r="AL13" s="26">
        <v>2.5</v>
      </c>
      <c r="AM13" s="26">
        <v>9.6999999999999993</v>
      </c>
      <c r="AN13" s="29">
        <f t="shared" ref="AN13:AN20" si="0">(AM13/AL13) *100</f>
        <v>388</v>
      </c>
      <c r="AO13">
        <v>1.21</v>
      </c>
      <c r="AP13">
        <v>1.27</v>
      </c>
    </row>
    <row r="14" spans="1:42" x14ac:dyDescent="0.35">
      <c r="A14" s="21">
        <v>0</v>
      </c>
      <c r="B14" s="7">
        <v>199</v>
      </c>
      <c r="C14" s="7">
        <v>0</v>
      </c>
      <c r="D14" s="10">
        <v>63.941935072080298</v>
      </c>
      <c r="E14">
        <v>0</v>
      </c>
      <c r="F14" s="25">
        <f>AVERAGE(95.9, 60.9)</f>
        <v>78.400000000000006</v>
      </c>
      <c r="G14" s="25">
        <v>0</v>
      </c>
      <c r="H14" s="25">
        <f>AVERAGE(12.3, 11.3, 10.5, 9.3, 7.6)</f>
        <v>10.200000000000001</v>
      </c>
      <c r="I14" s="25">
        <v>0</v>
      </c>
      <c r="J14" s="25">
        <f>AVERAGE(41, 40)</f>
        <v>40.5</v>
      </c>
      <c r="K14" s="25">
        <v>0</v>
      </c>
      <c r="L14" s="26">
        <v>18</v>
      </c>
      <c r="M14" s="26"/>
      <c r="N14" t="s">
        <v>30</v>
      </c>
      <c r="O14">
        <f>TTEST(O3:O6,O7:O13,2,2)</f>
        <v>8.6429820128263501E-2</v>
      </c>
      <c r="R14">
        <v>1</v>
      </c>
      <c r="S14">
        <v>210.5</v>
      </c>
      <c r="U14" s="21">
        <v>0</v>
      </c>
      <c r="V14" s="28">
        <v>74</v>
      </c>
      <c r="X14" s="31">
        <v>0</v>
      </c>
      <c r="Y14" s="31"/>
      <c r="Z14" s="13">
        <v>92.436130307172846</v>
      </c>
      <c r="AB14">
        <v>1</v>
      </c>
      <c r="AC14">
        <v>28.4</v>
      </c>
      <c r="AE14" s="31">
        <v>1</v>
      </c>
      <c r="AF14">
        <v>-71</v>
      </c>
      <c r="AG14" s="24">
        <v>1</v>
      </c>
      <c r="AH14">
        <v>3</v>
      </c>
      <c r="AL14" s="31">
        <v>11</v>
      </c>
      <c r="AM14" s="31">
        <v>11.1</v>
      </c>
      <c r="AN14" s="29">
        <v>1</v>
      </c>
      <c r="AO14">
        <v>0.01</v>
      </c>
      <c r="AP14">
        <v>2.0000000000000001E-4</v>
      </c>
    </row>
    <row r="15" spans="1:42" x14ac:dyDescent="0.35">
      <c r="A15" s="21">
        <v>0</v>
      </c>
      <c r="B15" s="7">
        <v>114</v>
      </c>
      <c r="C15" s="7">
        <v>0</v>
      </c>
      <c r="D15" s="10">
        <v>78.858124926592097</v>
      </c>
      <c r="E15">
        <v>0</v>
      </c>
      <c r="F15" s="25">
        <f>AVERAGE(71.9, 105.5)</f>
        <v>88.7</v>
      </c>
      <c r="G15" s="25">
        <v>0</v>
      </c>
      <c r="H15" s="25">
        <f>AVERAGE(9.82, 9.02)</f>
        <v>9.42</v>
      </c>
      <c r="I15" s="25">
        <v>0</v>
      </c>
      <c r="J15" s="25">
        <v>44</v>
      </c>
      <c r="K15" s="25">
        <v>1</v>
      </c>
      <c r="L15" s="26">
        <v>11.1</v>
      </c>
      <c r="M15" s="26"/>
      <c r="N15" t="s">
        <v>31</v>
      </c>
      <c r="O15" s="34">
        <f>AVERAGE(O3:O13)</f>
        <v>46.984607840717423</v>
      </c>
      <c r="R15">
        <v>1</v>
      </c>
      <c r="S15">
        <v>105.3</v>
      </c>
      <c r="U15" s="21">
        <v>0</v>
      </c>
      <c r="V15" s="28">
        <v>68</v>
      </c>
      <c r="X15" s="31">
        <v>0</v>
      </c>
      <c r="Y15" s="31"/>
      <c r="Z15" s="35">
        <v>63.941935072080298</v>
      </c>
      <c r="AB15" t="s">
        <v>30</v>
      </c>
      <c r="AC15">
        <f>TTEST(AC3:AC7,AC8:AC14,2,2)</f>
        <v>0.14340080348060275</v>
      </c>
      <c r="AE15" s="31">
        <v>1</v>
      </c>
      <c r="AF15">
        <v>-85</v>
      </c>
      <c r="AG15" s="31">
        <v>1</v>
      </c>
      <c r="AH15">
        <v>432</v>
      </c>
      <c r="AL15" s="26">
        <v>9.4</v>
      </c>
      <c r="AM15" s="26">
        <v>8.5</v>
      </c>
      <c r="AN15" s="29">
        <v>-10</v>
      </c>
      <c r="AO15">
        <v>0.65</v>
      </c>
      <c r="AP15">
        <v>2E-3</v>
      </c>
    </row>
    <row r="16" spans="1:42" x14ac:dyDescent="0.35">
      <c r="A16" s="21">
        <v>0</v>
      </c>
      <c r="B16" s="7">
        <v>258</v>
      </c>
      <c r="C16" s="7">
        <v>0</v>
      </c>
      <c r="D16" s="10">
        <v>51.079131942415835</v>
      </c>
      <c r="E16">
        <v>0</v>
      </c>
      <c r="F16" s="25">
        <f>AVERAGE(14.6)</f>
        <v>14.6</v>
      </c>
      <c r="G16" s="25">
        <v>0</v>
      </c>
      <c r="H16" s="25">
        <v>11.33</v>
      </c>
      <c r="I16" s="25">
        <v>0</v>
      </c>
      <c r="J16" s="25">
        <f>AVERAGE(42, 41)</f>
        <v>41.5</v>
      </c>
      <c r="K16" s="26">
        <v>1</v>
      </c>
      <c r="L16" s="36">
        <v>11.02941176470587</v>
      </c>
      <c r="M16" s="36"/>
      <c r="R16" t="s">
        <v>30</v>
      </c>
      <c r="S16">
        <f>TTEST(S3:S8,S9:S15,2,2)</f>
        <v>0.28927602816273718</v>
      </c>
      <c r="U16" s="21">
        <v>0</v>
      </c>
      <c r="V16" s="28">
        <v>63</v>
      </c>
      <c r="X16" s="31">
        <v>0</v>
      </c>
      <c r="Y16" s="31"/>
      <c r="Z16" s="13">
        <v>78.858124926592097</v>
      </c>
      <c r="AE16" s="31">
        <v>1</v>
      </c>
      <c r="AF16">
        <v>4.5</v>
      </c>
      <c r="AG16" s="31">
        <v>1</v>
      </c>
      <c r="AH16">
        <v>230</v>
      </c>
      <c r="AL16" s="26">
        <v>14</v>
      </c>
      <c r="AM16" s="26">
        <v>11.1</v>
      </c>
      <c r="AN16" s="29">
        <v>-21</v>
      </c>
      <c r="AP16">
        <f>TTEST(AO3:AO15,AP3:AP15,2,1)</f>
        <v>7.8797974100723561E-2</v>
      </c>
    </row>
    <row r="17" spans="1:43" x14ac:dyDescent="0.35">
      <c r="A17" s="21">
        <v>0</v>
      </c>
      <c r="B17" s="7">
        <v>349</v>
      </c>
      <c r="C17" s="7">
        <v>0</v>
      </c>
      <c r="D17" s="10">
        <v>70.849149986403745</v>
      </c>
      <c r="E17">
        <v>0</v>
      </c>
      <c r="F17" s="25">
        <f>AVERAGE(80.8, 109.9, 251.1)</f>
        <v>147.26666666666665</v>
      </c>
      <c r="G17" s="25">
        <v>0</v>
      </c>
      <c r="H17" s="25">
        <f>AVERAGE(13.22, 13.64, 12.39)</f>
        <v>13.083333333333334</v>
      </c>
      <c r="I17" s="25">
        <v>0</v>
      </c>
      <c r="J17" s="26">
        <v>11</v>
      </c>
      <c r="K17" s="37">
        <v>1</v>
      </c>
      <c r="L17" s="27">
        <v>9.5</v>
      </c>
      <c r="M17" s="27"/>
      <c r="R17" t="s">
        <v>31</v>
      </c>
      <c r="S17">
        <f xml:space="preserve"> AVERAGE(S3:S15)</f>
        <v>76.630769230769246</v>
      </c>
      <c r="U17" s="21">
        <v>0</v>
      </c>
      <c r="V17" s="28">
        <v>74</v>
      </c>
      <c r="X17" s="31">
        <v>0</v>
      </c>
      <c r="Y17" s="31"/>
      <c r="Z17" s="13">
        <v>51.079131942415835</v>
      </c>
      <c r="AE17" s="31">
        <v>1</v>
      </c>
      <c r="AF17">
        <v>-10</v>
      </c>
      <c r="AG17" s="31">
        <v>1</v>
      </c>
      <c r="AH17">
        <v>-65</v>
      </c>
      <c r="AL17" s="27">
        <v>10</v>
      </c>
      <c r="AM17" s="27">
        <v>11.5</v>
      </c>
      <c r="AN17" s="29">
        <v>15</v>
      </c>
    </row>
    <row r="18" spans="1:43" x14ac:dyDescent="0.35">
      <c r="A18" s="21">
        <v>0</v>
      </c>
      <c r="B18" s="7">
        <v>245</v>
      </c>
      <c r="C18" s="7">
        <v>0</v>
      </c>
      <c r="D18" s="10">
        <v>60.083480989454991</v>
      </c>
      <c r="E18">
        <v>0</v>
      </c>
      <c r="F18" s="25">
        <f>AVERAGE(31, 27.7)</f>
        <v>29.35</v>
      </c>
      <c r="G18" s="25">
        <v>0</v>
      </c>
      <c r="H18" s="25">
        <f>AVERAGE(10.35, 8.33)</f>
        <v>9.34</v>
      </c>
      <c r="I18" s="25">
        <v>0</v>
      </c>
      <c r="J18" s="26">
        <v>3</v>
      </c>
      <c r="K18" s="25">
        <v>1</v>
      </c>
      <c r="L18" s="31">
        <v>4</v>
      </c>
      <c r="M18" s="31"/>
      <c r="U18" s="21">
        <v>0</v>
      </c>
      <c r="V18" s="28">
        <v>51</v>
      </c>
      <c r="X18" s="31">
        <v>0</v>
      </c>
      <c r="Y18" s="31"/>
      <c r="Z18" s="13">
        <v>70.849149986403745</v>
      </c>
      <c r="AE18" s="38">
        <v>1</v>
      </c>
      <c r="AF18">
        <v>-77</v>
      </c>
      <c r="AG18" s="31">
        <v>1</v>
      </c>
      <c r="AH18">
        <v>55.5</v>
      </c>
      <c r="AL18" s="26">
        <v>2.7</v>
      </c>
      <c r="AM18" s="26">
        <v>2.5</v>
      </c>
      <c r="AN18" s="29">
        <v>-7</v>
      </c>
    </row>
    <row r="19" spans="1:43" x14ac:dyDescent="0.35">
      <c r="A19" s="21">
        <v>0</v>
      </c>
      <c r="B19" s="7">
        <v>434</v>
      </c>
      <c r="C19" s="7">
        <v>1</v>
      </c>
      <c r="D19" s="10">
        <v>56.886928497048395</v>
      </c>
      <c r="E19">
        <v>0</v>
      </c>
      <c r="F19" s="25">
        <f>AVERAGE(72.5)</f>
        <v>72.5</v>
      </c>
      <c r="G19" s="25">
        <v>0</v>
      </c>
      <c r="H19" s="25">
        <v>8.42</v>
      </c>
      <c r="I19" s="25">
        <v>1</v>
      </c>
      <c r="J19" s="26">
        <v>2.5</v>
      </c>
      <c r="K19" s="25">
        <v>1</v>
      </c>
      <c r="L19" s="26">
        <v>6.75</v>
      </c>
      <c r="M19" s="26"/>
      <c r="U19" s="21">
        <v>0</v>
      </c>
      <c r="V19" s="28">
        <v>51</v>
      </c>
      <c r="X19" s="31">
        <v>0</v>
      </c>
      <c r="Y19" s="31"/>
      <c r="Z19" s="13">
        <v>60.083480989454991</v>
      </c>
      <c r="AA19" s="34">
        <f>AVERAGE(Z4:Z19)</f>
        <v>41.353675819937216</v>
      </c>
      <c r="AE19" s="31">
        <v>1</v>
      </c>
      <c r="AF19">
        <v>1.5</v>
      </c>
      <c r="AG19" s="31">
        <v>1</v>
      </c>
      <c r="AH19">
        <v>-40</v>
      </c>
      <c r="AL19" s="27">
        <v>7.7</v>
      </c>
      <c r="AM19" s="27">
        <v>3.3</v>
      </c>
      <c r="AN19" s="29">
        <v>-57</v>
      </c>
    </row>
    <row r="20" spans="1:43" x14ac:dyDescent="0.35">
      <c r="A20" s="21">
        <v>0</v>
      </c>
      <c r="B20" s="7">
        <v>323</v>
      </c>
      <c r="C20" s="7">
        <v>1</v>
      </c>
      <c r="D20" s="39">
        <v>73.745285788628138</v>
      </c>
      <c r="E20">
        <v>0</v>
      </c>
      <c r="F20" s="25">
        <v>9.6</v>
      </c>
      <c r="G20" s="25">
        <v>0</v>
      </c>
      <c r="H20" s="25">
        <f>AVERAGE(11.74, 8.46, 7.56, 7.37, 6.49, 7.7)</f>
        <v>8.2200000000000006</v>
      </c>
      <c r="I20" s="25">
        <v>1</v>
      </c>
      <c r="J20" s="25">
        <f>AVERAGE(39, 35, 32)</f>
        <v>35.333333333333336</v>
      </c>
      <c r="K20" s="25">
        <v>1</v>
      </c>
      <c r="L20" s="31">
        <v>11.1</v>
      </c>
      <c r="M20" s="31"/>
      <c r="U20" s="21">
        <v>0</v>
      </c>
      <c r="V20" s="28">
        <v>45</v>
      </c>
      <c r="X20" s="24">
        <v>1</v>
      </c>
      <c r="Y20" s="24" t="s">
        <v>32</v>
      </c>
      <c r="Z20" s="9">
        <v>4.109301698018669</v>
      </c>
      <c r="AE20" s="31">
        <v>1</v>
      </c>
      <c r="AF20">
        <v>1.2</v>
      </c>
      <c r="AL20" s="26">
        <v>2.7</v>
      </c>
      <c r="AM20" s="26">
        <v>11</v>
      </c>
      <c r="AN20" s="29">
        <f t="shared" si="0"/>
        <v>407.40740740740733</v>
      </c>
    </row>
    <row r="21" spans="1:43" ht="29" x14ac:dyDescent="0.35">
      <c r="A21" s="21">
        <v>0</v>
      </c>
      <c r="B21" s="7">
        <v>1325</v>
      </c>
      <c r="C21" s="7">
        <v>1</v>
      </c>
      <c r="D21" s="39">
        <v>70.186465169944185</v>
      </c>
      <c r="E21">
        <v>0</v>
      </c>
      <c r="F21" s="25">
        <v>40</v>
      </c>
      <c r="G21" s="25">
        <v>0</v>
      </c>
      <c r="H21" s="25">
        <v>10.17</v>
      </c>
      <c r="I21" s="25">
        <v>1</v>
      </c>
      <c r="J21" s="25">
        <f>AVERAGE(46, 39, 38, 37, 34, 35, 35, 33)</f>
        <v>37.125</v>
      </c>
      <c r="K21" s="25">
        <v>1</v>
      </c>
      <c r="L21" s="26">
        <v>8.5</v>
      </c>
      <c r="M21" s="26"/>
      <c r="U21" s="21">
        <v>0</v>
      </c>
      <c r="V21" s="28">
        <v>68</v>
      </c>
      <c r="X21" s="24">
        <v>1</v>
      </c>
      <c r="Y21" s="31" t="s">
        <v>32</v>
      </c>
      <c r="Z21" s="9">
        <v>70.186465169944185</v>
      </c>
      <c r="AF21">
        <f>TTEST(AF3:AF12,AF13:AF20,2,2)</f>
        <v>0.3930898951597841</v>
      </c>
      <c r="AH21">
        <f>TTEST(AH3:AH13,AH14:AH19,2,2)</f>
        <v>0.17928029070747989</v>
      </c>
      <c r="AL21" s="26">
        <v>1.7</v>
      </c>
      <c r="AM21" s="26">
        <v>3</v>
      </c>
      <c r="AN21" s="29">
        <v>76</v>
      </c>
    </row>
    <row r="22" spans="1:43" x14ac:dyDescent="0.35">
      <c r="A22" s="21">
        <v>0</v>
      </c>
      <c r="B22" s="7">
        <v>310</v>
      </c>
      <c r="C22" s="5">
        <v>1</v>
      </c>
      <c r="D22" s="10">
        <v>71.597939253992919</v>
      </c>
      <c r="E22">
        <v>1</v>
      </c>
      <c r="F22" s="25">
        <f>AVERAGE(80, 120.1, 74.9, 110.5, 52.2)</f>
        <v>87.539999999999992</v>
      </c>
      <c r="G22" s="25">
        <v>1</v>
      </c>
      <c r="H22" s="25">
        <f>AVERAGE(9.6, 6.2, 6.6, 8.7, 8)</f>
        <v>7.8199999999999985</v>
      </c>
      <c r="I22" s="25">
        <v>1</v>
      </c>
      <c r="J22" s="25">
        <f>AVERAGE(38, 39, 34)</f>
        <v>37</v>
      </c>
      <c r="K22" s="37">
        <v>1</v>
      </c>
      <c r="L22" s="27">
        <v>11.5</v>
      </c>
      <c r="M22" s="27"/>
      <c r="U22" s="21">
        <v>0</v>
      </c>
      <c r="V22" s="28">
        <v>68</v>
      </c>
      <c r="X22" s="24">
        <v>1</v>
      </c>
      <c r="Y22" s="40" t="s">
        <v>33</v>
      </c>
      <c r="Z22" s="6">
        <v>71.597939253992919</v>
      </c>
      <c r="AL22" s="26">
        <v>5</v>
      </c>
      <c r="AM22" s="26">
        <v>5</v>
      </c>
      <c r="AN22" s="29">
        <v>0</v>
      </c>
    </row>
    <row r="23" spans="1:43" ht="29" x14ac:dyDescent="0.35">
      <c r="A23" s="21">
        <v>0</v>
      </c>
      <c r="B23" s="7">
        <v>291</v>
      </c>
      <c r="C23" s="7">
        <v>1</v>
      </c>
      <c r="D23" s="10">
        <v>70.830132678357216</v>
      </c>
      <c r="E23">
        <v>1</v>
      </c>
      <c r="F23" s="25">
        <f>AVERAGE(9.5, 96.2, 156.6, 100.1, 42.1, 26.5, 20.2)</f>
        <v>64.457142857142856</v>
      </c>
      <c r="G23" s="25">
        <v>1</v>
      </c>
      <c r="H23" s="25">
        <f>AVERAGE(9.2, 7.2, 10.6, 8, 8, 7.5, 6.2)</f>
        <v>8.1</v>
      </c>
      <c r="I23" s="37">
        <v>1</v>
      </c>
      <c r="J23" s="37">
        <f>AVERAGE(34, 36, 34, 40, 38, 35)</f>
        <v>36.166666666666664</v>
      </c>
      <c r="K23" s="37">
        <v>1</v>
      </c>
      <c r="L23" s="27">
        <v>3.3</v>
      </c>
      <c r="M23" s="27"/>
      <c r="U23" s="21">
        <v>0</v>
      </c>
      <c r="V23" s="28">
        <v>74</v>
      </c>
      <c r="X23" s="31">
        <v>1</v>
      </c>
      <c r="Y23" s="38" t="s">
        <v>34</v>
      </c>
      <c r="Z23" s="6">
        <v>97.231470583890683</v>
      </c>
      <c r="AL23" s="26">
        <v>4.75</v>
      </c>
      <c r="AM23" s="26">
        <v>4.1500000000000004</v>
      </c>
      <c r="AN23" s="29">
        <v>-13</v>
      </c>
    </row>
    <row r="24" spans="1:43" x14ac:dyDescent="0.35">
      <c r="A24" s="24">
        <v>1</v>
      </c>
      <c r="B24" s="7">
        <v>815</v>
      </c>
      <c r="C24" s="7">
        <v>1</v>
      </c>
      <c r="D24" s="10">
        <v>4.109301698018669</v>
      </c>
      <c r="E24">
        <v>1</v>
      </c>
      <c r="F24" s="25">
        <f>AVERAGE(33.3, 41.3, 55.8)</f>
        <v>43.466666666666661</v>
      </c>
      <c r="G24" s="25">
        <v>1</v>
      </c>
      <c r="H24" s="25">
        <f>AVERAGE(13.2, 14.5, 10.2)</f>
        <v>12.633333333333333</v>
      </c>
      <c r="I24" s="25">
        <v>1</v>
      </c>
      <c r="J24" s="25">
        <f>AVERAGE(42, 38, 39)</f>
        <v>39.666666666666664</v>
      </c>
      <c r="K24" t="s">
        <v>30</v>
      </c>
      <c r="L24">
        <f>TTEST(L3:L14,L15:L23,2,2)</f>
        <v>0.58740670512296111</v>
      </c>
      <c r="U24" s="24">
        <v>1</v>
      </c>
      <c r="V24" s="28">
        <v>62</v>
      </c>
      <c r="X24" s="31">
        <v>1</v>
      </c>
      <c r="Y24" s="24" t="s">
        <v>35</v>
      </c>
      <c r="Z24" s="9">
        <v>70.830132678357216</v>
      </c>
      <c r="AK24" t="s">
        <v>31</v>
      </c>
      <c r="AL24" s="34">
        <f>AVERAGE(AL3:AL23)</f>
        <v>6.3976190476190489</v>
      </c>
      <c r="AM24" s="34">
        <f>AVERAGE(AM3:AM23)</f>
        <v>7.1547619047619051</v>
      </c>
      <c r="AN24" s="29">
        <v>12</v>
      </c>
    </row>
    <row r="25" spans="1:43" x14ac:dyDescent="0.35">
      <c r="A25" s="21">
        <v>1</v>
      </c>
      <c r="B25" s="7">
        <v>977</v>
      </c>
      <c r="C25" s="7">
        <v>1</v>
      </c>
      <c r="D25" s="10">
        <v>76.72259388245628</v>
      </c>
      <c r="E25">
        <v>1</v>
      </c>
      <c r="F25" s="37">
        <f>AVERAGE(71.4, 43.6, 16.9, 24.7, 14.2, 3.7)</f>
        <v>29.083333333333329</v>
      </c>
      <c r="G25" s="37">
        <v>1</v>
      </c>
      <c r="H25" s="37">
        <f>AVERAGE(12.1, 8.6, 6.9, 9.8, 9.9, 7.5, 6.6, 8.8)</f>
        <v>8.7750000000000004</v>
      </c>
      <c r="I25" s="25">
        <v>1</v>
      </c>
      <c r="J25" s="25">
        <f>AVERAGE(41, 40, 41, 41)</f>
        <v>40.75</v>
      </c>
      <c r="U25" s="24">
        <v>1</v>
      </c>
      <c r="V25" s="28">
        <v>31</v>
      </c>
      <c r="X25" s="31">
        <v>1</v>
      </c>
      <c r="Y25" s="24" t="s">
        <v>35</v>
      </c>
      <c r="Z25" s="9">
        <v>56.886928497048395</v>
      </c>
      <c r="AK25" t="s">
        <v>30</v>
      </c>
      <c r="AL25">
        <f>TTEST(AL3:AL23,AM3:AM23,2,1)</f>
        <v>0.38718865241477241</v>
      </c>
    </row>
    <row r="26" spans="1:43" x14ac:dyDescent="0.35">
      <c r="A26" s="21">
        <v>1</v>
      </c>
      <c r="B26" s="7">
        <v>127</v>
      </c>
      <c r="C26" s="7">
        <v>1</v>
      </c>
      <c r="D26" s="10">
        <v>85.277845548922627</v>
      </c>
      <c r="E26">
        <v>1</v>
      </c>
      <c r="F26" s="25">
        <f>AVERAGE(157.8, 149.5, 160)</f>
        <v>155.76666666666668</v>
      </c>
      <c r="G26" s="25">
        <v>1</v>
      </c>
      <c r="H26" s="25">
        <f>AVERAGE(12.1,  10.4, 11.5)</f>
        <v>11.333333333333334</v>
      </c>
      <c r="I26" s="25">
        <v>1</v>
      </c>
      <c r="J26" s="25">
        <v>38</v>
      </c>
      <c r="U26" s="24">
        <v>1</v>
      </c>
      <c r="V26" s="28">
        <v>76</v>
      </c>
      <c r="X26" s="31">
        <v>1</v>
      </c>
      <c r="Y26" s="31" t="s">
        <v>35</v>
      </c>
      <c r="Z26" s="9">
        <v>76.72259388245628</v>
      </c>
    </row>
    <row r="27" spans="1:43" x14ac:dyDescent="0.35">
      <c r="A27" s="40">
        <v>1</v>
      </c>
      <c r="B27" s="5">
        <v>302</v>
      </c>
      <c r="C27" s="7">
        <v>1</v>
      </c>
      <c r="D27" s="10">
        <v>90.925732727720529</v>
      </c>
      <c r="E27">
        <v>1</v>
      </c>
      <c r="F27" s="25">
        <v>21.2</v>
      </c>
      <c r="G27" s="25">
        <v>1</v>
      </c>
      <c r="H27" s="25">
        <f>AVERAGE(8.1, 5.9, 7.3)</f>
        <v>7.1000000000000005</v>
      </c>
      <c r="I27" s="25">
        <v>1</v>
      </c>
      <c r="J27" s="25">
        <v>39</v>
      </c>
      <c r="U27" s="21">
        <v>1</v>
      </c>
      <c r="V27" s="28">
        <v>71</v>
      </c>
      <c r="X27" s="31">
        <v>1</v>
      </c>
      <c r="Y27" s="31" t="s">
        <v>35</v>
      </c>
      <c r="Z27" s="9">
        <v>85.277845548922627</v>
      </c>
    </row>
    <row r="28" spans="1:43" x14ac:dyDescent="0.35">
      <c r="A28" s="24">
        <v>1</v>
      </c>
      <c r="B28" s="7">
        <v>700</v>
      </c>
      <c r="C28" s="7">
        <v>1</v>
      </c>
      <c r="D28" s="10">
        <v>45.729276177167144</v>
      </c>
      <c r="E28">
        <v>1</v>
      </c>
      <c r="F28" s="25">
        <f>AVERAGE(98.1, 203, 276.1)</f>
        <v>192.4</v>
      </c>
      <c r="G28" s="25">
        <v>1</v>
      </c>
      <c r="H28" s="25">
        <f>AVERAGE(8, 9.7, 12.4)</f>
        <v>10.033333333333333</v>
      </c>
      <c r="I28" s="37">
        <v>1</v>
      </c>
      <c r="J28" s="37">
        <f>AVERAGE(39, 41, 38, 35, 41, 39, 35, 36, 35, 36)</f>
        <v>37.5</v>
      </c>
      <c r="U28" s="21">
        <v>1</v>
      </c>
      <c r="V28" s="28">
        <v>65</v>
      </c>
      <c r="X28" s="31">
        <v>1</v>
      </c>
      <c r="Y28" s="31" t="s">
        <v>35</v>
      </c>
      <c r="Z28" s="9">
        <v>73.745285788628138</v>
      </c>
    </row>
    <row r="29" spans="1:43" x14ac:dyDescent="0.35">
      <c r="A29" s="24">
        <v>1</v>
      </c>
      <c r="B29" s="7">
        <v>253</v>
      </c>
      <c r="C29" s="5">
        <v>1</v>
      </c>
      <c r="D29" s="10">
        <v>97.231470583890683</v>
      </c>
      <c r="E29">
        <v>1</v>
      </c>
      <c r="F29" s="25">
        <f>AVERAGE(236.1, 95.2)</f>
        <v>165.65</v>
      </c>
      <c r="G29" s="25">
        <v>1</v>
      </c>
      <c r="H29" s="25">
        <f>AVERAGE(11.3, 7.3, 6.3)</f>
        <v>8.3000000000000007</v>
      </c>
      <c r="I29" s="37">
        <v>1</v>
      </c>
      <c r="J29" s="37">
        <f>AVERAGE(47, 39, 43, 42)</f>
        <v>42.75</v>
      </c>
      <c r="U29" s="21">
        <v>1</v>
      </c>
      <c r="V29" s="28">
        <v>42</v>
      </c>
      <c r="X29" s="38">
        <v>1</v>
      </c>
      <c r="Y29" s="31" t="s">
        <v>35</v>
      </c>
      <c r="Z29" s="9">
        <v>90.925732727720529</v>
      </c>
    </row>
    <row r="30" spans="1:43" x14ac:dyDescent="0.35">
      <c r="A30" s="21">
        <v>1</v>
      </c>
      <c r="B30" s="7">
        <v>177</v>
      </c>
      <c r="C30" s="7"/>
      <c r="E30">
        <v>1</v>
      </c>
      <c r="F30" s="37">
        <f>AVERAGE(83.3, 245.5, 93.5, 227.7, 216.7, 125.5, 117.8, 127.3, 232.8, 85.6, 17.8)</f>
        <v>143.04545454545453</v>
      </c>
      <c r="G30" s="37">
        <v>1</v>
      </c>
      <c r="H30" s="37">
        <f>AVERAGE(7.8, 6.7, 5.2, 5.2, 10.5, 12.7, 10.3, 13.4, 15.5, 11.9, 6.9, 7.4)</f>
        <v>9.4583333333333339</v>
      </c>
      <c r="I30" s="25">
        <v>1</v>
      </c>
      <c r="J30" s="25">
        <v>39</v>
      </c>
      <c r="U30" s="41">
        <v>1</v>
      </c>
      <c r="V30" s="42">
        <v>61</v>
      </c>
      <c r="X30" s="40">
        <v>1</v>
      </c>
      <c r="Y30" s="31" t="s">
        <v>35</v>
      </c>
      <c r="Z30" s="9">
        <v>45.729276177167144</v>
      </c>
      <c r="AA30" s="34">
        <f>AVERAGE(Z20:Z30)</f>
        <v>67.567542909649717</v>
      </c>
      <c r="AQ30" s="18"/>
    </row>
    <row r="31" spans="1:43" x14ac:dyDescent="0.35">
      <c r="A31" s="21">
        <v>1</v>
      </c>
      <c r="B31" s="7">
        <v>137</v>
      </c>
      <c r="C31" t="s">
        <v>30</v>
      </c>
      <c r="D31" s="43">
        <f>TTEST(D3:D19,D20:D29,2,2)</f>
        <v>2.2517543296091881E-2</v>
      </c>
      <c r="E31">
        <v>1</v>
      </c>
      <c r="F31" s="37">
        <f>AVERAGE(41.6, 25.6, 5.9, 4.1)</f>
        <v>19.3</v>
      </c>
      <c r="G31" s="37">
        <v>1</v>
      </c>
      <c r="H31" s="37">
        <f>AVERAGE(12.7, 9.2, 8.2, 8.2, 8.2)</f>
        <v>9.3000000000000007</v>
      </c>
      <c r="I31" s="37">
        <v>1</v>
      </c>
      <c r="J31" s="37">
        <f>AVERAGE(29,28,25)</f>
        <v>27.333333333333332</v>
      </c>
      <c r="U31" s="21">
        <v>1</v>
      </c>
      <c r="V31" s="28">
        <v>53</v>
      </c>
    </row>
    <row r="32" spans="1:43" x14ac:dyDescent="0.35">
      <c r="A32" s="41">
        <v>1</v>
      </c>
      <c r="B32" s="5">
        <v>355</v>
      </c>
      <c r="E32">
        <v>1</v>
      </c>
      <c r="F32" s="25">
        <f>AVERAGE(86, 128.7, 42)</f>
        <v>85.566666666666663</v>
      </c>
      <c r="G32" s="25">
        <v>1</v>
      </c>
      <c r="H32" s="25">
        <f>AVERAGE(13.18, 12.96, 5.55)</f>
        <v>10.563333333333334</v>
      </c>
      <c r="I32" s="25"/>
      <c r="J32" s="25"/>
      <c r="U32" s="41">
        <v>1</v>
      </c>
      <c r="V32" s="42">
        <v>40</v>
      </c>
      <c r="Y32" s="31" t="s">
        <v>36</v>
      </c>
      <c r="Z32">
        <f>TTEST(Z4:Z19,Z20:Z30,2,2)</f>
        <v>2.0837092199723854E-2</v>
      </c>
    </row>
    <row r="33" spans="1:26" x14ac:dyDescent="0.35">
      <c r="A33" s="41">
        <v>1</v>
      </c>
      <c r="B33" s="5">
        <v>491</v>
      </c>
      <c r="E33">
        <v>1</v>
      </c>
      <c r="F33" s="25">
        <f>AVERAGE(250.9, 260.2,164.7,32.3)</f>
        <v>177.02499999999998</v>
      </c>
      <c r="G33" s="25">
        <v>1</v>
      </c>
      <c r="H33" s="25">
        <f>AVERAGE(8.45, 13.29, 8.59, 7.01)</f>
        <v>9.3349999999999991</v>
      </c>
      <c r="I33" t="s">
        <v>30</v>
      </c>
      <c r="J33">
        <f>TTEST(J3:J18,J19:J31,2,2)</f>
        <v>0.97406673258514798</v>
      </c>
      <c r="U33" s="21">
        <v>1</v>
      </c>
      <c r="V33" s="28">
        <v>68</v>
      </c>
      <c r="Z33" s="34">
        <f>AVERAGE(Z4:Z30)</f>
        <v>52.033399449079333</v>
      </c>
    </row>
    <row r="34" spans="1:26" x14ac:dyDescent="0.35">
      <c r="A34" s="21">
        <v>1</v>
      </c>
      <c r="B34" s="7">
        <v>179</v>
      </c>
      <c r="E34">
        <v>1</v>
      </c>
      <c r="F34" s="37">
        <f>AVERAGE(82.7, 231.8, 328.8, 337, 299.5, 285.5, 209.1, 164.7, 112.9, 59.8)</f>
        <v>211.18</v>
      </c>
      <c r="G34" s="37">
        <v>1</v>
      </c>
      <c r="H34" s="37">
        <f>AVERAGE(12.18, 14.58, 10.13, 6.74, 7.14, 8.19, 9.35, 14.77, 13.18, 13.4, 13.44)</f>
        <v>11.19090909090909</v>
      </c>
      <c r="U34" s="21">
        <v>1</v>
      </c>
      <c r="V34" s="28">
        <v>55</v>
      </c>
    </row>
    <row r="35" spans="1:26" x14ac:dyDescent="0.35">
      <c r="A35" s="21">
        <v>1</v>
      </c>
      <c r="B35" s="7">
        <v>504</v>
      </c>
      <c r="E35">
        <v>1</v>
      </c>
      <c r="F35" s="25">
        <f>AVERAGE(36, 86)</f>
        <v>61</v>
      </c>
      <c r="G35" s="25">
        <v>1</v>
      </c>
      <c r="H35" s="25">
        <f>AVERAGE(8.94, 5.56)</f>
        <v>7.25</v>
      </c>
      <c r="U35" s="41">
        <v>1</v>
      </c>
      <c r="V35" s="42">
        <v>66</v>
      </c>
    </row>
    <row r="36" spans="1:26" x14ac:dyDescent="0.35">
      <c r="A36" s="41">
        <v>1</v>
      </c>
      <c r="B36" s="5">
        <v>306</v>
      </c>
      <c r="E36" t="s">
        <v>30</v>
      </c>
      <c r="F36">
        <f>TTEST(F3:F21,F22:F35,2,2)</f>
        <v>0.15022459999103713</v>
      </c>
      <c r="G36" t="s">
        <v>30</v>
      </c>
      <c r="H36">
        <f>TTEST(H3:H21,H22:H35,2,2)</f>
        <v>0.96554487544852918</v>
      </c>
      <c r="U36" s="21">
        <v>1</v>
      </c>
      <c r="V36" s="28">
        <v>76</v>
      </c>
    </row>
    <row r="37" spans="1:26" x14ac:dyDescent="0.35">
      <c r="A37" s="21">
        <v>1</v>
      </c>
      <c r="B37" s="7">
        <v>267</v>
      </c>
      <c r="U37" s="40">
        <v>1</v>
      </c>
      <c r="V37" s="42">
        <v>40</v>
      </c>
    </row>
    <row r="38" spans="1:26" x14ac:dyDescent="0.35">
      <c r="A38" t="s">
        <v>30</v>
      </c>
      <c r="B38">
        <f>TTEST(B3:B23,B24:B37,2,2)</f>
        <v>0.89179144516628339</v>
      </c>
      <c r="U38" t="s">
        <v>36</v>
      </c>
      <c r="V38">
        <f>TTEST(V3:V23,V24:V37,2,2)</f>
        <v>0.92435891922227886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correlations</vt:lpstr>
      <vt:lpstr>ttests</vt:lpstr>
    </vt:vector>
  </TitlesOfParts>
  <Company>Lancaster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Rigby, Rachael</dc:creator>
  <cp:lastModifiedBy>Rigby, Rachael</cp:lastModifiedBy>
  <dcterms:created xsi:type="dcterms:W3CDTF">2022-02-11T10:38:51Z</dcterms:created>
  <dcterms:modified xsi:type="dcterms:W3CDTF">2022-02-11T10:54:38Z</dcterms:modified>
</cp:coreProperties>
</file>