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lancsac-my.sharepoint.com/personal/youngs4_lancaster_ac_uk/Documents/PhD/Chapter 2-Paulownia Experiment/PPP Manuscript/Submission 29Apr/"/>
    </mc:Choice>
  </mc:AlternateContent>
  <xr:revisionPtr revIDLastSave="41" documentId="8_{963B9CF3-4B6A-0B45-81DE-5295750C3221}" xr6:coauthVersionLast="47" xr6:coauthVersionMax="47" xr10:uidLastSave="{02409363-A5A1-CA4F-A788-C5C17D4AA3DD}"/>
  <bookViews>
    <workbookView xWindow="-33420" yWindow="-3040" windowWidth="28800" windowHeight="16020" xr2:uid="{8B9A7FBF-8394-454A-B042-EE9E677141E1}"/>
  </bookViews>
  <sheets>
    <sheet name="Intro" sheetId="3" r:id="rId1"/>
    <sheet name="Physiology" sheetId="2" r:id="rId2"/>
    <sheet name="Stable Isotopes" sheetId="4" r:id="rId3"/>
    <sheet name="Anatomy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" l="1"/>
  <c r="D31" i="2"/>
  <c r="D33" i="2" s="1"/>
  <c r="D34" i="2" s="1"/>
  <c r="C31" i="2"/>
  <c r="G30" i="2"/>
  <c r="C30" i="2"/>
  <c r="G29" i="2"/>
  <c r="C29" i="2"/>
  <c r="G28" i="2"/>
  <c r="C28" i="2"/>
  <c r="G27" i="2"/>
  <c r="C27" i="2"/>
  <c r="D20" i="2"/>
  <c r="D21" i="2" s="1"/>
  <c r="D19" i="2"/>
  <c r="G18" i="2"/>
  <c r="C18" i="2"/>
  <c r="G17" i="2"/>
  <c r="C17" i="2"/>
  <c r="G16" i="2"/>
  <c r="C16" i="2"/>
  <c r="G15" i="2"/>
  <c r="C15" i="2"/>
  <c r="G14" i="2"/>
  <c r="C14" i="2"/>
  <c r="D8" i="2"/>
  <c r="D9" i="2" s="1"/>
  <c r="D7" i="2"/>
  <c r="G6" i="2"/>
  <c r="C6" i="2"/>
  <c r="G5" i="2"/>
  <c r="C5" i="2"/>
  <c r="G4" i="2"/>
  <c r="C4" i="2"/>
  <c r="G3" i="2"/>
  <c r="C3" i="2"/>
  <c r="G2" i="2"/>
  <c r="C2" i="2"/>
  <c r="J33" i="1"/>
  <c r="J21" i="1"/>
  <c r="J8" i="1"/>
  <c r="I33" i="1"/>
  <c r="I21" i="1"/>
  <c r="I8" i="1"/>
  <c r="J19" i="1"/>
  <c r="J4" i="1"/>
  <c r="J5" i="1"/>
  <c r="J6" i="1"/>
  <c r="J7" i="1"/>
  <c r="J3" i="1"/>
  <c r="I32" i="1"/>
  <c r="I31" i="1"/>
  <c r="I30" i="1"/>
  <c r="I29" i="1"/>
  <c r="I28" i="1"/>
  <c r="I20" i="1"/>
  <c r="I19" i="1"/>
  <c r="I18" i="1"/>
  <c r="I17" i="1"/>
  <c r="I16" i="1"/>
  <c r="I4" i="1"/>
  <c r="I5" i="1"/>
  <c r="I6" i="1"/>
  <c r="I7" i="1"/>
  <c r="I3" i="1"/>
  <c r="S33" i="1"/>
  <c r="T33" i="1" s="1"/>
  <c r="R33" i="1"/>
  <c r="S32" i="1"/>
  <c r="T32" i="1" s="1"/>
  <c r="R32" i="1"/>
  <c r="Q32" i="1"/>
  <c r="P32" i="1"/>
  <c r="H32" i="1"/>
  <c r="J32" i="1" s="1"/>
  <c r="G32" i="1"/>
  <c r="T31" i="1"/>
  <c r="S31" i="1"/>
  <c r="R31" i="1"/>
  <c r="Q31" i="1"/>
  <c r="P31" i="1"/>
  <c r="H31" i="1"/>
  <c r="J31" i="1" s="1"/>
  <c r="G31" i="1"/>
  <c r="S30" i="1"/>
  <c r="T30" i="1" s="1"/>
  <c r="R30" i="1"/>
  <c r="Q30" i="1"/>
  <c r="P30" i="1"/>
  <c r="H30" i="1"/>
  <c r="G30" i="1"/>
  <c r="J30" i="1" s="1"/>
  <c r="S29" i="1"/>
  <c r="T29" i="1" s="1"/>
  <c r="R29" i="1"/>
  <c r="Q29" i="1"/>
  <c r="P29" i="1"/>
  <c r="H29" i="1"/>
  <c r="J29" i="1" s="1"/>
  <c r="G29" i="1"/>
  <c r="S28" i="1"/>
  <c r="T28" i="1" s="1"/>
  <c r="R28" i="1"/>
  <c r="Q28" i="1"/>
  <c r="P28" i="1"/>
  <c r="H28" i="1"/>
  <c r="J28" i="1" s="1"/>
  <c r="G28" i="1"/>
  <c r="S21" i="1"/>
  <c r="T21" i="1" s="1"/>
  <c r="R21" i="1"/>
  <c r="S20" i="1"/>
  <c r="T20" i="1" s="1"/>
  <c r="R20" i="1"/>
  <c r="Q20" i="1"/>
  <c r="P20" i="1"/>
  <c r="H20" i="1"/>
  <c r="J20" i="1" s="1"/>
  <c r="G20" i="1"/>
  <c r="S19" i="1"/>
  <c r="T19" i="1" s="1"/>
  <c r="R19" i="1"/>
  <c r="Q19" i="1"/>
  <c r="P19" i="1"/>
  <c r="H19" i="1"/>
  <c r="G19" i="1"/>
  <c r="S18" i="1"/>
  <c r="T18" i="1" s="1"/>
  <c r="R18" i="1"/>
  <c r="Q18" i="1"/>
  <c r="P18" i="1"/>
  <c r="H18" i="1"/>
  <c r="J18" i="1" s="1"/>
  <c r="G18" i="1"/>
  <c r="S17" i="1"/>
  <c r="T17" i="1" s="1"/>
  <c r="R17" i="1"/>
  <c r="Q17" i="1"/>
  <c r="P17" i="1"/>
  <c r="H17" i="1"/>
  <c r="J17" i="1" s="1"/>
  <c r="G17" i="1"/>
  <c r="S16" i="1"/>
  <c r="T16" i="1" s="1"/>
  <c r="R16" i="1"/>
  <c r="Q16" i="1"/>
  <c r="P16" i="1"/>
  <c r="H16" i="1"/>
  <c r="J16" i="1" s="1"/>
  <c r="G16" i="1"/>
  <c r="C7" i="2" l="1"/>
  <c r="G19" i="2"/>
  <c r="G8" i="2"/>
  <c r="G9" i="2" s="1"/>
  <c r="C20" i="2"/>
  <c r="C21" i="2" s="1"/>
  <c r="C32" i="2"/>
  <c r="G32" i="2"/>
  <c r="C19" i="2"/>
  <c r="G33" i="2"/>
  <c r="G34" i="2" s="1"/>
  <c r="G20" i="2"/>
  <c r="G21" i="2" s="1"/>
  <c r="D32" i="2"/>
  <c r="C8" i="2"/>
  <c r="C9" i="2" s="1"/>
  <c r="G7" i="2"/>
  <c r="C33" i="2"/>
  <c r="C34" i="2" s="1"/>
</calcChain>
</file>

<file path=xl/sharedStrings.xml><?xml version="1.0" encoding="utf-8"?>
<sst xmlns="http://schemas.openxmlformats.org/spreadsheetml/2006/main" count="160" uniqueCount="78">
  <si>
    <t>Mesophyll cell count between veins</t>
  </si>
  <si>
    <t>IVD (um)</t>
  </si>
  <si>
    <t>Sample</t>
  </si>
  <si>
    <t>Min</t>
  </si>
  <si>
    <t>Max</t>
  </si>
  <si>
    <t>Mean</t>
  </si>
  <si>
    <t>SD</t>
  </si>
  <si>
    <t>SE</t>
  </si>
  <si>
    <t>Pt1</t>
  </si>
  <si>
    <t>Pt2</t>
  </si>
  <si>
    <t>Pt3</t>
  </si>
  <si>
    <t>Pt4</t>
  </si>
  <si>
    <t>Pt5</t>
  </si>
  <si>
    <t>Pf2</t>
  </si>
  <si>
    <t>Pf3</t>
  </si>
  <si>
    <t>Pf4</t>
  </si>
  <si>
    <t>Pf5</t>
  </si>
  <si>
    <t>Pf6</t>
  </si>
  <si>
    <t>Pk1</t>
  </si>
  <si>
    <t>Pk2</t>
  </si>
  <si>
    <t>Pk3</t>
  </si>
  <si>
    <t>Pk4</t>
  </si>
  <si>
    <t>Pk5</t>
  </si>
  <si>
    <t>Range</t>
  </si>
  <si>
    <t>Median</t>
  </si>
  <si>
    <t>curve #</t>
  </si>
  <si>
    <t>CCP</t>
  </si>
  <si>
    <t>CE</t>
  </si>
  <si>
    <t>Anet (400ppm)</t>
  </si>
  <si>
    <t>gsw (400ppm)</t>
  </si>
  <si>
    <t>WUE</t>
  </si>
  <si>
    <t>Date</t>
  </si>
  <si>
    <t>aci 4</t>
  </si>
  <si>
    <t>aci 5</t>
  </si>
  <si>
    <t>aci 6</t>
  </si>
  <si>
    <t>aci 7</t>
  </si>
  <si>
    <t>aci 8</t>
  </si>
  <si>
    <t>aci 2</t>
  </si>
  <si>
    <t>aci 3</t>
  </si>
  <si>
    <t>aci 9</t>
  </si>
  <si>
    <t xml:space="preserve">Pt </t>
  </si>
  <si>
    <t>Paulownia tomentosa</t>
  </si>
  <si>
    <t>Paulownia fortuneii</t>
  </si>
  <si>
    <t>Paulownia kawakamii</t>
  </si>
  <si>
    <t>Pf</t>
  </si>
  <si>
    <t>Pk</t>
  </si>
  <si>
    <t>Pt</t>
  </si>
  <si>
    <t>d 15N</t>
  </si>
  <si>
    <t>d 13C</t>
  </si>
  <si>
    <t>IVD</t>
  </si>
  <si>
    <t>carbon compensation point</t>
  </si>
  <si>
    <t>carboxylation efficiency</t>
  </si>
  <si>
    <t>water use efficiency</t>
  </si>
  <si>
    <t>standard deviation</t>
  </si>
  <si>
    <t>standard error</t>
  </si>
  <si>
    <t>interveinal distance</t>
  </si>
  <si>
    <t>N%</t>
  </si>
  <si>
    <t>C%</t>
  </si>
  <si>
    <t>Abbreviations</t>
  </si>
  <si>
    <t>Contents</t>
  </si>
  <si>
    <t>Sheet 1</t>
  </si>
  <si>
    <t>Sheet 2</t>
  </si>
  <si>
    <t>Sheet 3</t>
  </si>
  <si>
    <t>Anatomy data summary</t>
  </si>
  <si>
    <t>Stable isotope data summary</t>
  </si>
  <si>
    <t>Physiology data summary</t>
  </si>
  <si>
    <t>Mass of sample (ug)</t>
  </si>
  <si>
    <t>Anet</t>
  </si>
  <si>
    <t>net rate of assimilation at 400ppm CO2</t>
  </si>
  <si>
    <t>gsw</t>
  </si>
  <si>
    <t>stomatal conductance to water vapour at 400ppm CO2</t>
  </si>
  <si>
    <t>calculated as Anet/gsw at 400 ppm CO2</t>
  </si>
  <si>
    <t>measured as the distance between the centre of two veins</t>
  </si>
  <si>
    <t>the initial slope of the A-Ci curve</t>
  </si>
  <si>
    <t>the x-intercept of the A-Ci curve</t>
  </si>
  <si>
    <t>Relevant methodology</t>
  </si>
  <si>
    <t>License</t>
  </si>
  <si>
    <t>This work is licensed under the Creative Commons Attribution 4.0 International License. To view a copy of this license, visit http://creativecommons.org/licenses/by/4.0/ or send a letter to Creative Commons, PO Box 1866, Mountain View, CA 94042, 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</si>
</sst>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2" fillId="0" borderId="6" xfId="0" applyFont="1" applyBorder="1"/>
    <xf numFmtId="0" fontId="0" fillId="0" borderId="8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0" xfId="1" applyFont="1"/>
    <xf numFmtId="14" fontId="0" fillId="0" borderId="0" xfId="0" applyNumberFormat="1"/>
    <xf numFmtId="0" fontId="4" fillId="0" borderId="4" xfId="1" applyBorder="1"/>
    <xf numFmtId="14" fontId="0" fillId="0" borderId="4" xfId="0" applyNumberFormat="1" applyBorder="1"/>
    <xf numFmtId="0" fontId="0" fillId="0" borderId="4" xfId="1" applyFont="1" applyBorder="1"/>
    <xf numFmtId="0" fontId="3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1"/>
    <xf numFmtId="14" fontId="3" fillId="0" borderId="0" xfId="0" applyNumberFormat="1" applyFont="1"/>
    <xf numFmtId="0" fontId="3" fillId="0" borderId="4" xfId="0" applyFont="1" applyBorder="1"/>
    <xf numFmtId="0" fontId="5" fillId="0" borderId="4" xfId="0" applyFont="1" applyBorder="1"/>
    <xf numFmtId="14" fontId="3" fillId="0" borderId="4" xfId="0" applyNumberFormat="1" applyFont="1" applyBorder="1"/>
    <xf numFmtId="0" fontId="0" fillId="0" borderId="0" xfId="0" quotePrefix="1"/>
    <xf numFmtId="2" fontId="0" fillId="0" borderId="0" xfId="0" applyNumberFormat="1"/>
    <xf numFmtId="2" fontId="0" fillId="0" borderId="0" xfId="0" quotePrefix="1" applyNumberFormat="1"/>
    <xf numFmtId="0" fontId="1" fillId="0" borderId="0" xfId="0" quotePrefix="1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/>
  </cellXfs>
  <cellStyles count="2">
    <cellStyle name="Normal" xfId="0" builtinId="0"/>
    <cellStyle name="Normal 2" xfId="1" xr:uid="{07FED57A-034B-1942-BAFB-5CB10C9C2F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5123-BEBF-814B-80DE-A1F9F34CAA45}">
  <dimension ref="A1:C21"/>
  <sheetViews>
    <sheetView tabSelected="1" workbookViewId="0">
      <selection activeCell="G30" sqref="G30"/>
    </sheetView>
  </sheetViews>
  <sheetFormatPr baseColWidth="10" defaultRowHeight="16" x14ac:dyDescent="0.2"/>
  <cols>
    <col min="2" max="2" width="46.5" customWidth="1"/>
    <col min="3" max="3" width="51" customWidth="1"/>
  </cols>
  <sheetData>
    <row r="1" spans="1:3" x14ac:dyDescent="0.2">
      <c r="A1" s="54" t="s">
        <v>59</v>
      </c>
      <c r="B1" s="17"/>
    </row>
    <row r="2" spans="1:3" x14ac:dyDescent="0.2">
      <c r="A2" t="s">
        <v>60</v>
      </c>
      <c r="B2" t="s">
        <v>65</v>
      </c>
    </row>
    <row r="3" spans="1:3" x14ac:dyDescent="0.2">
      <c r="A3" t="s">
        <v>61</v>
      </c>
      <c r="B3" t="s">
        <v>64</v>
      </c>
    </row>
    <row r="4" spans="1:3" x14ac:dyDescent="0.2">
      <c r="A4" t="s">
        <v>62</v>
      </c>
      <c r="B4" t="s">
        <v>63</v>
      </c>
    </row>
    <row r="6" spans="1:3" x14ac:dyDescent="0.2">
      <c r="A6" s="54" t="s">
        <v>58</v>
      </c>
      <c r="B6" s="17"/>
      <c r="C6" s="54" t="s">
        <v>75</v>
      </c>
    </row>
    <row r="7" spans="1:3" x14ac:dyDescent="0.2">
      <c r="A7" t="s">
        <v>67</v>
      </c>
      <c r="B7" t="s">
        <v>68</v>
      </c>
    </row>
    <row r="8" spans="1:3" x14ac:dyDescent="0.2">
      <c r="A8" t="s">
        <v>26</v>
      </c>
      <c r="B8" t="s">
        <v>50</v>
      </c>
      <c r="C8" t="s">
        <v>74</v>
      </c>
    </row>
    <row r="9" spans="1:3" x14ac:dyDescent="0.2">
      <c r="A9" t="s">
        <v>27</v>
      </c>
      <c r="B9" t="s">
        <v>51</v>
      </c>
      <c r="C9" t="s">
        <v>73</v>
      </c>
    </row>
    <row r="10" spans="1:3" x14ac:dyDescent="0.2">
      <c r="A10" t="s">
        <v>69</v>
      </c>
      <c r="B10" t="s">
        <v>70</v>
      </c>
    </row>
    <row r="11" spans="1:3" x14ac:dyDescent="0.2">
      <c r="A11" t="s">
        <v>49</v>
      </c>
      <c r="B11" t="s">
        <v>55</v>
      </c>
      <c r="C11" t="s">
        <v>72</v>
      </c>
    </row>
    <row r="12" spans="1:3" x14ac:dyDescent="0.2">
      <c r="A12" t="s">
        <v>44</v>
      </c>
      <c r="B12" t="s">
        <v>42</v>
      </c>
    </row>
    <row r="13" spans="1:3" x14ac:dyDescent="0.2">
      <c r="A13" t="s">
        <v>45</v>
      </c>
      <c r="B13" t="s">
        <v>43</v>
      </c>
    </row>
    <row r="14" spans="1:3" x14ac:dyDescent="0.2">
      <c r="A14" t="s">
        <v>40</v>
      </c>
      <c r="B14" t="s">
        <v>41</v>
      </c>
    </row>
    <row r="15" spans="1:3" x14ac:dyDescent="0.2">
      <c r="A15" t="s">
        <v>6</v>
      </c>
      <c r="B15" t="s">
        <v>53</v>
      </c>
    </row>
    <row r="16" spans="1:3" x14ac:dyDescent="0.2">
      <c r="A16" t="s">
        <v>7</v>
      </c>
      <c r="B16" t="s">
        <v>54</v>
      </c>
    </row>
    <row r="17" spans="1:3" x14ac:dyDescent="0.2">
      <c r="A17" t="s">
        <v>30</v>
      </c>
      <c r="B17" t="s">
        <v>52</v>
      </c>
      <c r="C17" t="s">
        <v>71</v>
      </c>
    </row>
    <row r="20" spans="1:3" x14ac:dyDescent="0.2">
      <c r="A20" s="21" t="s">
        <v>76</v>
      </c>
    </row>
    <row r="21" spans="1:3" x14ac:dyDescent="0.2">
      <c r="A21" t="s">
        <v>77</v>
      </c>
    </row>
  </sheetData>
  <sortState xmlns:xlrd2="http://schemas.microsoft.com/office/spreadsheetml/2017/richdata2" ref="A7:B17">
    <sortCondition ref="A7:A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CB0BE-1A70-1047-85CF-59B9397C2624}">
  <dimension ref="A1:M34"/>
  <sheetViews>
    <sheetView workbookViewId="0">
      <selection activeCell="M12" sqref="M12"/>
    </sheetView>
  </sheetViews>
  <sheetFormatPr baseColWidth="10" defaultRowHeight="16" x14ac:dyDescent="0.2"/>
  <sheetData>
    <row r="1" spans="1:13" ht="35" thickBot="1" x14ac:dyDescent="0.25">
      <c r="A1" s="30" t="s">
        <v>2</v>
      </c>
      <c r="B1" s="30" t="s">
        <v>25</v>
      </c>
      <c r="C1" s="30" t="s">
        <v>26</v>
      </c>
      <c r="D1" s="30" t="s">
        <v>27</v>
      </c>
      <c r="E1" s="30" t="s">
        <v>28</v>
      </c>
      <c r="F1" s="30" t="s">
        <v>29</v>
      </c>
      <c r="G1" s="30" t="s">
        <v>30</v>
      </c>
      <c r="H1" s="30" t="s">
        <v>31</v>
      </c>
      <c r="I1" s="31"/>
      <c r="J1" s="31"/>
      <c r="K1" s="31"/>
      <c r="L1" s="31"/>
      <c r="M1" s="31"/>
    </row>
    <row r="2" spans="1:13" x14ac:dyDescent="0.2">
      <c r="A2" t="s">
        <v>8</v>
      </c>
      <c r="B2" t="s">
        <v>32</v>
      </c>
      <c r="C2">
        <f>2.6001/0.0437</f>
        <v>59.498855835240271</v>
      </c>
      <c r="D2">
        <v>4.3700000000000003E-2</v>
      </c>
      <c r="E2" s="32">
        <v>7.4869681356287625</v>
      </c>
      <c r="F2" s="32">
        <v>8.2149055352613118E-2</v>
      </c>
      <c r="G2">
        <f>E2/F2</f>
        <v>91.138822028957222</v>
      </c>
      <c r="H2" s="33">
        <v>44273</v>
      </c>
    </row>
    <row r="3" spans="1:13" x14ac:dyDescent="0.2">
      <c r="A3" t="s">
        <v>9</v>
      </c>
      <c r="B3" t="s">
        <v>33</v>
      </c>
      <c r="C3">
        <f>3.3608/0.053</f>
        <v>63.411320754716982</v>
      </c>
      <c r="D3">
        <v>5.2999999999999999E-2</v>
      </c>
      <c r="E3" s="32">
        <v>6.8632981419491976</v>
      </c>
      <c r="F3" s="32">
        <v>6.080103184981929E-2</v>
      </c>
      <c r="G3">
        <f t="shared" ref="G3:G6" si="0">E3/F3</f>
        <v>112.8812773918342</v>
      </c>
      <c r="H3" s="33">
        <v>44273</v>
      </c>
    </row>
    <row r="4" spans="1:13" x14ac:dyDescent="0.2">
      <c r="A4" t="s">
        <v>10</v>
      </c>
      <c r="B4" t="s">
        <v>34</v>
      </c>
      <c r="C4">
        <f>5.071/0.0833</f>
        <v>60.876350540216087</v>
      </c>
      <c r="D4">
        <v>8.3299999999999999E-2</v>
      </c>
      <c r="E4" s="32">
        <v>10.370964216519008</v>
      </c>
      <c r="F4" s="32">
        <v>9.072803532492564E-2</v>
      </c>
      <c r="G4">
        <f t="shared" si="0"/>
        <v>114.3082640264095</v>
      </c>
      <c r="H4" s="33">
        <v>44274</v>
      </c>
    </row>
    <row r="5" spans="1:13" x14ac:dyDescent="0.2">
      <c r="A5" t="s">
        <v>11</v>
      </c>
      <c r="B5" t="s">
        <v>35</v>
      </c>
      <c r="C5">
        <f>2.5071/0.0362</f>
        <v>69.256906077348063</v>
      </c>
      <c r="D5">
        <v>3.6200000000000003E-2</v>
      </c>
      <c r="E5" s="32">
        <v>6.5712018824819118</v>
      </c>
      <c r="F5" s="32">
        <v>8.5079695484746157E-2</v>
      </c>
      <c r="G5">
        <f t="shared" si="0"/>
        <v>77.235841584083417</v>
      </c>
      <c r="H5" s="33">
        <v>44274</v>
      </c>
    </row>
    <row r="6" spans="1:13" x14ac:dyDescent="0.2">
      <c r="A6" s="17" t="s">
        <v>12</v>
      </c>
      <c r="B6" s="17" t="s">
        <v>36</v>
      </c>
      <c r="C6" s="17">
        <f>2.5818/0.0391</f>
        <v>66.030690537084396</v>
      </c>
      <c r="D6" s="17">
        <v>3.9100000000000003E-2</v>
      </c>
      <c r="E6" s="17">
        <v>5.0844822823660687</v>
      </c>
      <c r="F6" s="34">
        <v>3.9985219079713648E-2</v>
      </c>
      <c r="G6" s="17">
        <f t="shared" si="0"/>
        <v>127.15904525194065</v>
      </c>
      <c r="H6" s="35">
        <v>44277</v>
      </c>
    </row>
    <row r="7" spans="1:13" x14ac:dyDescent="0.2">
      <c r="A7" s="21" t="s">
        <v>5</v>
      </c>
      <c r="C7">
        <f>AVERAGE(C2:C6)</f>
        <v>63.814824748921161</v>
      </c>
      <c r="D7">
        <f>AVERAGE(D2:D6)</f>
        <v>5.1060000000000008E-2</v>
      </c>
      <c r="G7">
        <f>AVERAGE(G2:G6)</f>
        <v>104.54465005664501</v>
      </c>
      <c r="H7" s="33"/>
    </row>
    <row r="8" spans="1:13" x14ac:dyDescent="0.2">
      <c r="A8" s="21" t="s">
        <v>6</v>
      </c>
      <c r="C8">
        <f>STDEV(C2:C6)</f>
        <v>3.9354588102528916</v>
      </c>
      <c r="D8">
        <f>STDEV(D2:D6)</f>
        <v>1.9112901401932662E-2</v>
      </c>
      <c r="G8">
        <f>STDEV(G2:G6)</f>
        <v>20.010782271218137</v>
      </c>
      <c r="H8" s="33"/>
    </row>
    <row r="9" spans="1:13" x14ac:dyDescent="0.2">
      <c r="A9" s="21" t="s">
        <v>7</v>
      </c>
      <c r="C9">
        <f>C8/SQRT(COUNT(C2:C6))</f>
        <v>1.7599906844751823</v>
      </c>
      <c r="D9">
        <f>D8/SQRT(COUNT(D2:D6))</f>
        <v>8.5475493563944918E-3</v>
      </c>
      <c r="G9">
        <f>G8/SQRT(COUNT(G2:G6))</f>
        <v>8.9490938882782771</v>
      </c>
    </row>
    <row r="10" spans="1:13" x14ac:dyDescent="0.2">
      <c r="A10" s="21"/>
    </row>
    <row r="11" spans="1:13" x14ac:dyDescent="0.2">
      <c r="A11" s="21"/>
    </row>
    <row r="13" spans="1:13" ht="35" thickBot="1" x14ac:dyDescent="0.25">
      <c r="A13" s="30" t="s">
        <v>2</v>
      </c>
      <c r="B13" s="30" t="s">
        <v>25</v>
      </c>
      <c r="C13" s="30" t="s">
        <v>26</v>
      </c>
      <c r="D13" s="30" t="s">
        <v>27</v>
      </c>
      <c r="E13" s="30" t="s">
        <v>28</v>
      </c>
      <c r="F13" s="30" t="s">
        <v>29</v>
      </c>
      <c r="G13" s="30" t="s">
        <v>30</v>
      </c>
      <c r="H13" s="30" t="s">
        <v>31</v>
      </c>
    </row>
    <row r="14" spans="1:13" x14ac:dyDescent="0.2">
      <c r="A14" t="s">
        <v>13</v>
      </c>
      <c r="B14" t="s">
        <v>37</v>
      </c>
      <c r="C14">
        <f>4.4722/0.0787</f>
        <v>56.825921219822106</v>
      </c>
      <c r="D14">
        <v>7.8700000000000006E-2</v>
      </c>
      <c r="E14" s="32">
        <v>12.950480855363987</v>
      </c>
      <c r="F14" s="32">
        <v>0.16254477853941407</v>
      </c>
      <c r="G14">
        <f t="shared" ref="G14:G18" si="1">E14/F14</f>
        <v>79.673312005059188</v>
      </c>
      <c r="H14" s="33">
        <v>44420</v>
      </c>
    </row>
    <row r="15" spans="1:13" x14ac:dyDescent="0.2">
      <c r="A15" t="s">
        <v>14</v>
      </c>
      <c r="B15" t="s">
        <v>38</v>
      </c>
      <c r="C15">
        <f>5.0872/0.096</f>
        <v>52.991666666666667</v>
      </c>
      <c r="D15">
        <v>9.6000000000000002E-2</v>
      </c>
      <c r="E15" s="32">
        <v>17.964217380073361</v>
      </c>
      <c r="F15" s="32">
        <v>0.2753387194559625</v>
      </c>
      <c r="G15">
        <f t="shared" si="1"/>
        <v>65.244065257398518</v>
      </c>
      <c r="H15" s="33">
        <v>44420</v>
      </c>
    </row>
    <row r="16" spans="1:13" x14ac:dyDescent="0.2">
      <c r="A16" t="s">
        <v>15</v>
      </c>
      <c r="B16" t="s">
        <v>32</v>
      </c>
      <c r="C16">
        <f>4.5753/0.0827</f>
        <v>55.324062877871832</v>
      </c>
      <c r="D16">
        <v>8.2699999999999996E-2</v>
      </c>
      <c r="E16" s="32">
        <v>14.119381136073574</v>
      </c>
      <c r="F16" s="32">
        <v>0.28862434440762308</v>
      </c>
      <c r="G16">
        <f t="shared" si="1"/>
        <v>48.919578024689507</v>
      </c>
      <c r="H16" s="33">
        <v>44420</v>
      </c>
    </row>
    <row r="17" spans="1:10" x14ac:dyDescent="0.2">
      <c r="A17" t="s">
        <v>16</v>
      </c>
      <c r="B17" t="s">
        <v>33</v>
      </c>
      <c r="C17">
        <f>6.0905/0.1037</f>
        <v>58.731918997107037</v>
      </c>
      <c r="D17">
        <v>0.1037</v>
      </c>
      <c r="E17" s="32">
        <v>15.732647777145885</v>
      </c>
      <c r="F17" s="32">
        <v>0.20190757278008317</v>
      </c>
      <c r="G17">
        <f t="shared" si="1"/>
        <v>77.920048072103839</v>
      </c>
      <c r="H17" s="33">
        <v>44420</v>
      </c>
    </row>
    <row r="18" spans="1:10" x14ac:dyDescent="0.2">
      <c r="A18" s="17" t="s">
        <v>17</v>
      </c>
      <c r="B18" s="17" t="s">
        <v>34</v>
      </c>
      <c r="C18" s="17">
        <f>4.6529/0.0854</f>
        <v>54.483606557377044</v>
      </c>
      <c r="D18" s="17">
        <v>8.5400000000000004E-2</v>
      </c>
      <c r="E18" s="36">
        <v>12.142149787338518</v>
      </c>
      <c r="F18" s="36">
        <v>0.17535424524680973</v>
      </c>
      <c r="G18" s="17">
        <f t="shared" si="1"/>
        <v>69.243546229796351</v>
      </c>
      <c r="H18" s="35">
        <v>44420</v>
      </c>
    </row>
    <row r="19" spans="1:10" x14ac:dyDescent="0.2">
      <c r="A19" s="21" t="s">
        <v>5</v>
      </c>
      <c r="C19">
        <f>AVERAGE(C14:C18)</f>
        <v>55.671435263768942</v>
      </c>
      <c r="D19">
        <f>AVERAGE(D14:D18)</f>
        <v>8.9300000000000004E-2</v>
      </c>
      <c r="G19">
        <f>AVERAGE(G14:G18)</f>
        <v>68.200109917809485</v>
      </c>
    </row>
    <row r="20" spans="1:10" x14ac:dyDescent="0.2">
      <c r="A20" s="21" t="s">
        <v>6</v>
      </c>
      <c r="C20">
        <f>STDEV(C14:C18)</f>
        <v>2.2029618045360584</v>
      </c>
      <c r="D20">
        <f>STDEV(D14:D18)</f>
        <v>1.0288099921754187E-2</v>
      </c>
      <c r="G20">
        <f>STDEV(G14:G18)</f>
        <v>12.325557120383138</v>
      </c>
    </row>
    <row r="21" spans="1:10" x14ac:dyDescent="0.2">
      <c r="A21" s="21" t="s">
        <v>7</v>
      </c>
      <c r="C21">
        <f>C20/SQRT(COUNT(C14:C18))</f>
        <v>0.98519446935564614</v>
      </c>
      <c r="D21">
        <f>D20/SQRT(COUNT(D14:D18))</f>
        <v>4.6009781568705256E-3</v>
      </c>
      <c r="G21">
        <f>G20/SQRT(COUNT(G14:G18))</f>
        <v>5.5121567163466505</v>
      </c>
    </row>
    <row r="26" spans="1:10" ht="35" thickBot="1" x14ac:dyDescent="0.25">
      <c r="A26" s="37" t="s">
        <v>2</v>
      </c>
      <c r="B26" s="37" t="s">
        <v>25</v>
      </c>
      <c r="C26" s="37" t="s">
        <v>26</v>
      </c>
      <c r="D26" s="37" t="s">
        <v>27</v>
      </c>
      <c r="E26" s="37" t="s">
        <v>28</v>
      </c>
      <c r="F26" s="37" t="s">
        <v>29</v>
      </c>
      <c r="G26" s="37" t="s">
        <v>30</v>
      </c>
      <c r="H26" s="37" t="s">
        <v>31</v>
      </c>
      <c r="I26" s="38"/>
      <c r="J26" s="38"/>
    </row>
    <row r="27" spans="1:10" x14ac:dyDescent="0.2">
      <c r="A27" s="12" t="s">
        <v>18</v>
      </c>
      <c r="B27" s="12" t="s">
        <v>32</v>
      </c>
      <c r="C27">
        <f>3.7928/0.0676</f>
        <v>56.10650887573965</v>
      </c>
      <c r="D27">
        <v>6.7599999999999993E-2</v>
      </c>
      <c r="E27" s="39">
        <v>11.419052771555759</v>
      </c>
      <c r="F27" s="12">
        <v>0.13316487949721428</v>
      </c>
      <c r="G27" s="12">
        <f>E27/F27</f>
        <v>85.751234219339622</v>
      </c>
      <c r="H27" s="40">
        <v>44273</v>
      </c>
      <c r="I27" s="12"/>
      <c r="J27" s="12"/>
    </row>
    <row r="28" spans="1:10" x14ac:dyDescent="0.2">
      <c r="A28" s="12" t="s">
        <v>19</v>
      </c>
      <c r="B28" s="12" t="s">
        <v>33</v>
      </c>
      <c r="C28">
        <f>1.7176/0.027</f>
        <v>63.614814814814814</v>
      </c>
      <c r="D28">
        <v>2.7E-2</v>
      </c>
      <c r="E28">
        <v>4.1818733741938017</v>
      </c>
      <c r="F28" s="12">
        <v>3.9075065280136906E-2</v>
      </c>
      <c r="G28" s="12">
        <f t="shared" ref="G28:G31" si="2">E28/F28</f>
        <v>107.02153263758156</v>
      </c>
      <c r="H28" s="40">
        <v>44274</v>
      </c>
      <c r="I28" s="12"/>
      <c r="J28" s="12"/>
    </row>
    <row r="29" spans="1:10" x14ac:dyDescent="0.2">
      <c r="A29" s="12" t="s">
        <v>20</v>
      </c>
      <c r="B29" s="12" t="s">
        <v>34</v>
      </c>
      <c r="C29">
        <f>3.2275/0.0502</f>
        <v>64.292828685258968</v>
      </c>
      <c r="D29">
        <v>5.0200000000000002E-2</v>
      </c>
      <c r="E29">
        <v>5.6436566672522694</v>
      </c>
      <c r="F29" s="12">
        <v>4.2146656009122312E-2</v>
      </c>
      <c r="G29" s="12">
        <f t="shared" si="2"/>
        <v>133.90520628803253</v>
      </c>
      <c r="H29" s="40">
        <v>44274</v>
      </c>
      <c r="I29" s="12"/>
      <c r="J29" s="12"/>
    </row>
    <row r="30" spans="1:10" x14ac:dyDescent="0.2">
      <c r="A30" s="12" t="s">
        <v>21</v>
      </c>
      <c r="B30" s="12" t="s">
        <v>35</v>
      </c>
      <c r="C30">
        <f>2.4172/0.044</f>
        <v>54.936363636363637</v>
      </c>
      <c r="D30">
        <v>4.3999999999999997E-2</v>
      </c>
      <c r="E30">
        <v>7.3462450825095997</v>
      </c>
      <c r="F30" s="12">
        <v>7.4661478053926617E-2</v>
      </c>
      <c r="G30" s="12">
        <f t="shared" si="2"/>
        <v>98.394048363247535</v>
      </c>
      <c r="H30" s="40">
        <v>44274</v>
      </c>
      <c r="I30" s="12"/>
      <c r="J30" s="12"/>
    </row>
    <row r="31" spans="1:10" x14ac:dyDescent="0.2">
      <c r="A31" s="41" t="s">
        <v>22</v>
      </c>
      <c r="B31" s="41" t="s">
        <v>39</v>
      </c>
      <c r="C31" s="17">
        <f>1.7684/0.0284</f>
        <v>62.267605633802809</v>
      </c>
      <c r="D31" s="17">
        <f>0.0284</f>
        <v>2.8400000000000002E-2</v>
      </c>
      <c r="E31" s="17">
        <v>5.5107914875819137</v>
      </c>
      <c r="F31" s="42">
        <v>6.1199722432661953E-2</v>
      </c>
      <c r="G31" s="41">
        <f t="shared" si="2"/>
        <v>90.046020938173982</v>
      </c>
      <c r="H31" s="43">
        <v>44277</v>
      </c>
      <c r="I31" s="12"/>
      <c r="J31" s="12"/>
    </row>
    <row r="32" spans="1:10" x14ac:dyDescent="0.2">
      <c r="A32" s="21" t="s">
        <v>5</v>
      </c>
      <c r="C32">
        <f>AVERAGE(C27:C31)</f>
        <v>60.243624329195974</v>
      </c>
      <c r="D32">
        <f>AVERAGE(D27:D31)</f>
        <v>4.3439999999999993E-2</v>
      </c>
      <c r="G32">
        <f>AVERAGE(G27:G31)</f>
        <v>103.02360848927506</v>
      </c>
    </row>
    <row r="33" spans="1:7" x14ac:dyDescent="0.2">
      <c r="A33" s="21" t="s">
        <v>6</v>
      </c>
      <c r="C33">
        <f>STDEV(C27:C31)</f>
        <v>4.3914753177546952</v>
      </c>
      <c r="D33">
        <f>STDEV(D27:D31)</f>
        <v>1.6779392122481685E-2</v>
      </c>
      <c r="G33">
        <f>STDEV(G27:G31)</f>
        <v>19.090848583991509</v>
      </c>
    </row>
    <row r="34" spans="1:7" x14ac:dyDescent="0.2">
      <c r="A34" s="21" t="s">
        <v>7</v>
      </c>
      <c r="C34">
        <f>C33/SQRT(COUNT(C27:C31))</f>
        <v>1.9639274664023973</v>
      </c>
      <c r="D34">
        <f>D33/SQRT(COUNT(D27:D31))</f>
        <v>7.5039722813987049E-3</v>
      </c>
      <c r="G34">
        <f>G33/SQRT(COUNT(G27:G31))</f>
        <v>8.5376870363921231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01CD-4123-2A4A-A174-A5487C3AEB3D}">
  <dimension ref="A1:F4"/>
  <sheetViews>
    <sheetView workbookViewId="0">
      <selection activeCell="J17" sqref="J17"/>
    </sheetView>
  </sheetViews>
  <sheetFormatPr baseColWidth="10" defaultRowHeight="16" x14ac:dyDescent="0.2"/>
  <cols>
    <col min="2" max="2" width="17.83203125" customWidth="1"/>
  </cols>
  <sheetData>
    <row r="1" spans="1:6" s="21" customFormat="1" x14ac:dyDescent="0.2">
      <c r="A1" s="47" t="s">
        <v>2</v>
      </c>
      <c r="B1" s="47" t="s">
        <v>66</v>
      </c>
      <c r="C1" s="47" t="s">
        <v>56</v>
      </c>
      <c r="D1" s="47" t="s">
        <v>47</v>
      </c>
      <c r="E1" s="47" t="s">
        <v>57</v>
      </c>
      <c r="F1" s="47" t="s">
        <v>48</v>
      </c>
    </row>
    <row r="2" spans="1:6" x14ac:dyDescent="0.2">
      <c r="A2" s="44" t="s">
        <v>44</v>
      </c>
      <c r="B2" s="44">
        <v>517</v>
      </c>
      <c r="C2" s="45">
        <v>4.0125342359767888</v>
      </c>
      <c r="D2" s="46">
        <v>0.39473950000000002</v>
      </c>
      <c r="E2" s="45">
        <v>42.83412765957447</v>
      </c>
      <c r="F2" s="46">
        <v>-25.585000000000001</v>
      </c>
    </row>
    <row r="3" spans="1:6" x14ac:dyDescent="0.2">
      <c r="A3" s="44" t="s">
        <v>45</v>
      </c>
      <c r="B3" s="44">
        <v>511</v>
      </c>
      <c r="C3" s="45">
        <v>1.1083632093933464</v>
      </c>
      <c r="D3" s="46">
        <v>0.25207360000000001</v>
      </c>
      <c r="E3" s="45">
        <v>44.436330724070451</v>
      </c>
      <c r="F3" s="46">
        <v>-23.181000000000001</v>
      </c>
    </row>
    <row r="4" spans="1:6" x14ac:dyDescent="0.2">
      <c r="A4" s="44" t="s">
        <v>46</v>
      </c>
      <c r="B4" s="44">
        <v>483</v>
      </c>
      <c r="C4" s="45">
        <v>1.5834968944099377</v>
      </c>
      <c r="D4" s="46">
        <v>5.2508322999999999</v>
      </c>
      <c r="E4" s="45">
        <v>45.045559006211185</v>
      </c>
      <c r="F4" s="46">
        <v>-22.219000000000001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44479-7D40-724B-BE42-F55A4E10A12F}">
  <dimension ref="A1:W33"/>
  <sheetViews>
    <sheetView workbookViewId="0">
      <selection activeCell="J11" sqref="J11"/>
    </sheetView>
  </sheetViews>
  <sheetFormatPr baseColWidth="10" defaultRowHeight="16" x14ac:dyDescent="0.2"/>
  <sheetData>
    <row r="1" spans="1:20" x14ac:dyDescent="0.2">
      <c r="A1" s="1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 t="s">
        <v>1</v>
      </c>
      <c r="L1" s="49"/>
      <c r="M1" s="49"/>
      <c r="N1" s="49"/>
      <c r="O1" s="49"/>
      <c r="P1" s="49"/>
      <c r="Q1" s="49"/>
      <c r="R1" s="49"/>
      <c r="S1" s="49"/>
      <c r="T1" s="3"/>
    </row>
    <row r="2" spans="1:20" x14ac:dyDescent="0.2">
      <c r="A2" s="4" t="s">
        <v>2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 t="s">
        <v>3</v>
      </c>
      <c r="H2" s="5" t="s">
        <v>4</v>
      </c>
      <c r="I2" s="5" t="s">
        <v>24</v>
      </c>
      <c r="J2" s="5" t="s">
        <v>23</v>
      </c>
      <c r="K2" s="6">
        <v>1</v>
      </c>
      <c r="L2" s="5">
        <v>2</v>
      </c>
      <c r="M2" s="5">
        <v>3</v>
      </c>
      <c r="N2" s="5">
        <v>4</v>
      </c>
      <c r="O2" s="5">
        <v>5</v>
      </c>
      <c r="P2" s="5" t="s">
        <v>3</v>
      </c>
      <c r="Q2" s="5" t="s">
        <v>4</v>
      </c>
      <c r="R2" s="5" t="s">
        <v>5</v>
      </c>
      <c r="S2" s="5" t="s">
        <v>6</v>
      </c>
      <c r="T2" s="5" t="s">
        <v>7</v>
      </c>
    </row>
    <row r="3" spans="1:20" x14ac:dyDescent="0.2">
      <c r="A3" s="7" t="s">
        <v>8</v>
      </c>
      <c r="B3" s="8">
        <v>5</v>
      </c>
      <c r="C3" s="8">
        <v>4</v>
      </c>
      <c r="D3" s="8">
        <v>8</v>
      </c>
      <c r="E3" s="8">
        <v>5</v>
      </c>
      <c r="F3" s="8">
        <v>4</v>
      </c>
      <c r="G3" s="8">
        <v>4</v>
      </c>
      <c r="H3" s="8">
        <v>8</v>
      </c>
      <c r="I3" s="8">
        <f>MEDIAN(B3:F3)</f>
        <v>5</v>
      </c>
      <c r="J3" s="8">
        <f>H3-G3</f>
        <v>4</v>
      </c>
      <c r="K3" s="9">
        <v>175.27099999999999</v>
      </c>
      <c r="L3" s="8">
        <v>153.81899999999999</v>
      </c>
      <c r="M3" s="8">
        <v>226.721</v>
      </c>
      <c r="N3" s="8">
        <v>161.054</v>
      </c>
      <c r="O3" s="8">
        <v>164.53200000000001</v>
      </c>
      <c r="P3" s="8">
        <v>153.81899999999999</v>
      </c>
      <c r="Q3" s="8">
        <v>226.721</v>
      </c>
      <c r="R3" s="8">
        <v>176.27940000000001</v>
      </c>
      <c r="S3" s="8">
        <v>29.238911000000002</v>
      </c>
      <c r="T3" s="8">
        <v>13.076038499999999</v>
      </c>
    </row>
    <row r="4" spans="1:20" x14ac:dyDescent="0.2">
      <c r="A4" s="7" t="s">
        <v>9</v>
      </c>
      <c r="B4" s="8">
        <v>5</v>
      </c>
      <c r="C4" s="8">
        <v>3</v>
      </c>
      <c r="D4" s="8">
        <v>9</v>
      </c>
      <c r="E4" s="8">
        <v>9</v>
      </c>
      <c r="F4" s="8">
        <v>2</v>
      </c>
      <c r="G4" s="8">
        <v>2</v>
      </c>
      <c r="H4" s="8">
        <v>9</v>
      </c>
      <c r="I4" s="8">
        <f t="shared" ref="I4:I7" si="0">MEDIAN(B4:F4)</f>
        <v>5</v>
      </c>
      <c r="J4" s="8">
        <f t="shared" ref="J4:J7" si="1">H4-G4</f>
        <v>7</v>
      </c>
      <c r="K4" s="9">
        <v>130.423</v>
      </c>
      <c r="L4" s="8">
        <v>107.333</v>
      </c>
      <c r="M4" s="8">
        <v>250.37200000000001</v>
      </c>
      <c r="N4" s="8">
        <v>219.25899999999999</v>
      </c>
      <c r="O4" s="8">
        <v>82.772999999999996</v>
      </c>
      <c r="P4" s="8">
        <v>82.772999999999996</v>
      </c>
      <c r="Q4" s="8">
        <v>250.37200000000001</v>
      </c>
      <c r="R4" s="8">
        <v>158.03200000000001</v>
      </c>
      <c r="S4" s="8">
        <v>72.924590699999996</v>
      </c>
      <c r="T4" s="8">
        <v>32.612868400000004</v>
      </c>
    </row>
    <row r="5" spans="1:20" x14ac:dyDescent="0.2">
      <c r="A5" s="7" t="s">
        <v>10</v>
      </c>
      <c r="B5" s="8">
        <v>4</v>
      </c>
      <c r="C5" s="8">
        <v>8</v>
      </c>
      <c r="D5" s="8">
        <v>2</v>
      </c>
      <c r="E5" s="8">
        <v>5</v>
      </c>
      <c r="F5" s="8">
        <v>4</v>
      </c>
      <c r="G5" s="8">
        <v>2</v>
      </c>
      <c r="H5" s="8">
        <v>8</v>
      </c>
      <c r="I5" s="8">
        <f t="shared" si="0"/>
        <v>4</v>
      </c>
      <c r="J5" s="8">
        <f t="shared" si="1"/>
        <v>6</v>
      </c>
      <c r="K5" s="9">
        <v>213.32300000000001</v>
      </c>
      <c r="L5" s="8">
        <v>221.65700000000001</v>
      </c>
      <c r="M5" s="8">
        <v>80.385000000000005</v>
      </c>
      <c r="N5" s="8">
        <v>140.82900000000001</v>
      </c>
      <c r="O5" s="8">
        <v>130.95400000000001</v>
      </c>
      <c r="P5" s="8">
        <v>80.385000000000005</v>
      </c>
      <c r="Q5" s="8">
        <v>221.65700000000001</v>
      </c>
      <c r="R5" s="8">
        <v>157.42959999999999</v>
      </c>
      <c r="S5" s="8">
        <v>59.501342000000001</v>
      </c>
      <c r="T5" s="8">
        <v>26.6098091</v>
      </c>
    </row>
    <row r="6" spans="1:20" x14ac:dyDescent="0.2">
      <c r="A6" s="7" t="s">
        <v>11</v>
      </c>
      <c r="B6" s="8">
        <v>4</v>
      </c>
      <c r="C6" s="8">
        <v>2</v>
      </c>
      <c r="D6" s="8">
        <v>6</v>
      </c>
      <c r="E6" s="8">
        <v>3</v>
      </c>
      <c r="F6" s="8">
        <v>3</v>
      </c>
      <c r="G6" s="8">
        <v>2</v>
      </c>
      <c r="H6" s="8">
        <v>6</v>
      </c>
      <c r="I6" s="8">
        <f t="shared" si="0"/>
        <v>3</v>
      </c>
      <c r="J6" s="8">
        <f t="shared" si="1"/>
        <v>4</v>
      </c>
      <c r="K6" s="9">
        <v>108.346</v>
      </c>
      <c r="L6" s="8">
        <v>63.158999999999999</v>
      </c>
      <c r="M6" s="8">
        <v>210.36600000000001</v>
      </c>
      <c r="N6" s="8">
        <v>104.10899999999999</v>
      </c>
      <c r="O6" s="8">
        <v>114.6</v>
      </c>
      <c r="P6" s="8">
        <v>63.158999999999999</v>
      </c>
      <c r="Q6" s="8">
        <v>210.36600000000001</v>
      </c>
      <c r="R6" s="8">
        <v>120.116</v>
      </c>
      <c r="S6" s="8">
        <v>54.346907799999997</v>
      </c>
      <c r="T6" s="8">
        <v>24.304676000000001</v>
      </c>
    </row>
    <row r="7" spans="1:20" x14ac:dyDescent="0.2">
      <c r="A7" s="4" t="s">
        <v>12</v>
      </c>
      <c r="B7" s="10">
        <v>10</v>
      </c>
      <c r="C7" s="10">
        <v>3</v>
      </c>
      <c r="D7" s="10">
        <v>5</v>
      </c>
      <c r="E7" s="10">
        <v>10</v>
      </c>
      <c r="F7" s="10">
        <v>6</v>
      </c>
      <c r="G7" s="10">
        <v>3</v>
      </c>
      <c r="H7" s="10">
        <v>10</v>
      </c>
      <c r="I7" s="10">
        <f t="shared" si="0"/>
        <v>6</v>
      </c>
      <c r="J7" s="11">
        <f t="shared" si="1"/>
        <v>7</v>
      </c>
      <c r="K7" s="29">
        <v>221.285</v>
      </c>
      <c r="L7" s="10">
        <v>87.722999999999999</v>
      </c>
      <c r="M7" s="10">
        <v>126.95699999999999</v>
      </c>
      <c r="N7" s="10">
        <v>223.98500000000001</v>
      </c>
      <c r="O7" s="10">
        <v>189.215</v>
      </c>
      <c r="P7" s="10">
        <v>87.722999999999999</v>
      </c>
      <c r="Q7" s="10">
        <v>223.98500000000001</v>
      </c>
      <c r="R7" s="10">
        <v>169.833</v>
      </c>
      <c r="S7" s="10">
        <v>60.282279299999999</v>
      </c>
      <c r="T7" s="10">
        <v>26.959054900000002</v>
      </c>
    </row>
    <row r="8" spans="1:20" x14ac:dyDescent="0.2">
      <c r="A8" s="3"/>
      <c r="B8" s="12"/>
      <c r="C8" s="12"/>
      <c r="D8" s="12"/>
      <c r="E8" s="12"/>
      <c r="F8" s="12"/>
      <c r="G8" s="12"/>
      <c r="H8" s="12"/>
      <c r="I8" s="2">
        <f>MEDIAN(B3:F7)</f>
        <v>5</v>
      </c>
      <c r="J8" s="2">
        <f>MAX(B3:F7)-MIN(B3:F7)</f>
        <v>8</v>
      </c>
      <c r="K8" s="12"/>
      <c r="L8" s="12"/>
      <c r="M8" s="12"/>
      <c r="N8" s="12"/>
      <c r="O8" s="12"/>
      <c r="P8" s="12"/>
      <c r="Q8" s="12"/>
      <c r="R8" s="2">
        <v>156.33799999999999</v>
      </c>
      <c r="S8" s="2">
        <v>55.7833538</v>
      </c>
      <c r="T8" s="2">
        <v>11.156670800000001</v>
      </c>
    </row>
    <row r="9" spans="1:20" x14ac:dyDescent="0.2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4" spans="1:20" x14ac:dyDescent="0.2">
      <c r="A14" s="13"/>
      <c r="B14" s="50" t="s">
        <v>0</v>
      </c>
      <c r="C14" s="51"/>
      <c r="D14" s="51"/>
      <c r="E14" s="51"/>
      <c r="F14" s="51"/>
      <c r="G14" s="51"/>
      <c r="H14" s="51"/>
      <c r="I14" s="51"/>
      <c r="J14" s="51"/>
      <c r="K14" s="51" t="s">
        <v>1</v>
      </c>
      <c r="L14" s="51"/>
      <c r="M14" s="51"/>
      <c r="N14" s="51"/>
      <c r="O14" s="51"/>
      <c r="P14" s="51"/>
      <c r="Q14" s="51"/>
      <c r="R14" s="51"/>
      <c r="S14" s="51"/>
      <c r="T14" s="14"/>
    </row>
    <row r="15" spans="1:20" x14ac:dyDescent="0.2">
      <c r="A15" s="4" t="s">
        <v>2</v>
      </c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 t="s">
        <v>3</v>
      </c>
      <c r="H15" s="5" t="s">
        <v>4</v>
      </c>
      <c r="I15" s="5" t="s">
        <v>24</v>
      </c>
      <c r="J15" s="5" t="s">
        <v>23</v>
      </c>
      <c r="K15" s="5">
        <v>1</v>
      </c>
      <c r="L15" s="5">
        <v>2</v>
      </c>
      <c r="M15" s="5">
        <v>3</v>
      </c>
      <c r="N15" s="5">
        <v>4</v>
      </c>
      <c r="O15" s="5">
        <v>5</v>
      </c>
      <c r="P15" s="5" t="s">
        <v>3</v>
      </c>
      <c r="Q15" s="5" t="s">
        <v>4</v>
      </c>
      <c r="R15" s="5" t="s">
        <v>5</v>
      </c>
      <c r="S15" s="5" t="s">
        <v>6</v>
      </c>
      <c r="T15" s="5" t="s">
        <v>7</v>
      </c>
    </row>
    <row r="16" spans="1:20" x14ac:dyDescent="0.2">
      <c r="A16" s="7" t="s">
        <v>13</v>
      </c>
      <c r="B16" s="8">
        <v>5</v>
      </c>
      <c r="C16" s="8">
        <v>7</v>
      </c>
      <c r="D16" s="8">
        <v>4</v>
      </c>
      <c r="E16" s="8">
        <v>5</v>
      </c>
      <c r="F16" s="8">
        <v>4</v>
      </c>
      <c r="G16" s="8">
        <f t="shared" ref="G16:G20" si="2">MIN(B16:F16)</f>
        <v>4</v>
      </c>
      <c r="H16" s="8">
        <f t="shared" ref="H16:H20" si="3">MAX(B16:F16)</f>
        <v>7</v>
      </c>
      <c r="I16" s="8">
        <f>MEDIAN(B16:F16)</f>
        <v>5</v>
      </c>
      <c r="J16" s="8">
        <f>H16-G16</f>
        <v>3</v>
      </c>
      <c r="K16" s="15">
        <v>130.006</v>
      </c>
      <c r="L16">
        <v>208.56100000000001</v>
      </c>
      <c r="M16">
        <v>128.98400000000001</v>
      </c>
      <c r="N16">
        <v>191.90100000000001</v>
      </c>
      <c r="O16">
        <v>105.905</v>
      </c>
      <c r="P16" s="8">
        <f t="shared" ref="P16:P20" si="4">MIN(K16:O16)</f>
        <v>105.905</v>
      </c>
      <c r="Q16" s="8">
        <f t="shared" ref="Q16:Q20" si="5">MAX(K16:O16)</f>
        <v>208.56100000000001</v>
      </c>
      <c r="R16" s="8">
        <f t="shared" ref="R16:R20" si="6">AVERAGE(K16:O16)</f>
        <v>153.07139999999998</v>
      </c>
      <c r="S16" s="8">
        <f t="shared" ref="S16:S20" si="7">STDEV(K16:O16)</f>
        <v>44.50763515735251</v>
      </c>
      <c r="T16" s="8">
        <f t="shared" ref="T16:T20" si="8">S16/SQRT(COUNT(K16:O16))</f>
        <v>19.90441954591995</v>
      </c>
    </row>
    <row r="17" spans="1:23" x14ac:dyDescent="0.2">
      <c r="A17" s="7" t="s">
        <v>14</v>
      </c>
      <c r="B17" s="8">
        <v>4</v>
      </c>
      <c r="C17" s="8">
        <v>5</v>
      </c>
      <c r="D17" s="8">
        <v>6</v>
      </c>
      <c r="E17" s="8">
        <v>8</v>
      </c>
      <c r="F17" s="8">
        <v>4</v>
      </c>
      <c r="G17" s="8">
        <f t="shared" si="2"/>
        <v>4</v>
      </c>
      <c r="H17" s="8">
        <f t="shared" si="3"/>
        <v>8</v>
      </c>
      <c r="I17" s="8">
        <f t="shared" ref="I17:I20" si="9">MEDIAN(B17:F17)</f>
        <v>5</v>
      </c>
      <c r="J17" s="8">
        <f t="shared" ref="J17:J20" si="10">H17-G17</f>
        <v>4</v>
      </c>
      <c r="K17" s="15">
        <v>178.863</v>
      </c>
      <c r="L17">
        <v>220.84700000000001</v>
      </c>
      <c r="M17">
        <v>223.06800000000001</v>
      </c>
      <c r="N17">
        <v>287.96300000000002</v>
      </c>
      <c r="O17">
        <v>205.87799999999999</v>
      </c>
      <c r="P17" s="8">
        <f t="shared" si="4"/>
        <v>178.863</v>
      </c>
      <c r="Q17" s="8">
        <f t="shared" si="5"/>
        <v>287.96300000000002</v>
      </c>
      <c r="R17" s="8">
        <f t="shared" si="6"/>
        <v>223.32379999999998</v>
      </c>
      <c r="S17" s="8">
        <f t="shared" si="7"/>
        <v>40.204305810447813</v>
      </c>
      <c r="T17" s="8">
        <f t="shared" si="8"/>
        <v>17.979912156070217</v>
      </c>
    </row>
    <row r="18" spans="1:23" x14ac:dyDescent="0.2">
      <c r="A18" s="7" t="s">
        <v>15</v>
      </c>
      <c r="B18" s="8">
        <v>8</v>
      </c>
      <c r="C18" s="8">
        <v>11</v>
      </c>
      <c r="D18" s="8">
        <v>6</v>
      </c>
      <c r="E18" s="8">
        <v>8</v>
      </c>
      <c r="F18" s="8">
        <v>9</v>
      </c>
      <c r="G18" s="8">
        <f t="shared" si="2"/>
        <v>6</v>
      </c>
      <c r="H18" s="8">
        <f t="shared" si="3"/>
        <v>11</v>
      </c>
      <c r="I18" s="8">
        <f t="shared" si="9"/>
        <v>8</v>
      </c>
      <c r="J18" s="8">
        <f t="shared" si="10"/>
        <v>5</v>
      </c>
      <c r="K18" s="15">
        <v>330.06</v>
      </c>
      <c r="L18">
        <v>314.089</v>
      </c>
      <c r="M18">
        <v>210.096</v>
      </c>
      <c r="N18">
        <v>260.96699999999998</v>
      </c>
      <c r="O18">
        <v>283.81099999999998</v>
      </c>
      <c r="P18" s="8">
        <f t="shared" si="4"/>
        <v>210.096</v>
      </c>
      <c r="Q18" s="8">
        <f t="shared" si="5"/>
        <v>330.06</v>
      </c>
      <c r="R18" s="8">
        <f t="shared" si="6"/>
        <v>279.80459999999999</v>
      </c>
      <c r="S18" s="8">
        <f t="shared" si="7"/>
        <v>47.25256776409109</v>
      </c>
      <c r="T18" s="8">
        <f t="shared" si="8"/>
        <v>21.131990726384583</v>
      </c>
    </row>
    <row r="19" spans="1:23" x14ac:dyDescent="0.2">
      <c r="A19" s="7" t="s">
        <v>16</v>
      </c>
      <c r="B19" s="8">
        <v>4</v>
      </c>
      <c r="C19" s="8">
        <v>9</v>
      </c>
      <c r="D19" s="8">
        <v>7</v>
      </c>
      <c r="E19" s="8">
        <v>6</v>
      </c>
      <c r="F19" s="8">
        <v>5</v>
      </c>
      <c r="G19" s="8">
        <f t="shared" si="2"/>
        <v>4</v>
      </c>
      <c r="H19" s="8">
        <f t="shared" si="3"/>
        <v>9</v>
      </c>
      <c r="I19" s="8">
        <f t="shared" si="9"/>
        <v>6</v>
      </c>
      <c r="J19" s="8">
        <f t="shared" si="10"/>
        <v>5</v>
      </c>
      <c r="K19" s="15">
        <v>159.50399999999999</v>
      </c>
      <c r="L19">
        <v>272.17599999999999</v>
      </c>
      <c r="M19">
        <v>261.58600000000001</v>
      </c>
      <c r="N19">
        <v>212.98699999999999</v>
      </c>
      <c r="O19">
        <v>186.37299999999999</v>
      </c>
      <c r="P19" s="8">
        <f t="shared" si="4"/>
        <v>159.50399999999999</v>
      </c>
      <c r="Q19" s="8">
        <f t="shared" si="5"/>
        <v>272.17599999999999</v>
      </c>
      <c r="R19" s="8">
        <f t="shared" si="6"/>
        <v>218.52519999999998</v>
      </c>
      <c r="S19" s="8">
        <f t="shared" si="7"/>
        <v>48.167879626365114</v>
      </c>
      <c r="T19" s="8">
        <f t="shared" si="8"/>
        <v>21.541330635315912</v>
      </c>
    </row>
    <row r="20" spans="1:23" x14ac:dyDescent="0.2">
      <c r="A20" s="4" t="s">
        <v>17</v>
      </c>
      <c r="B20" s="10">
        <v>12</v>
      </c>
      <c r="C20" s="10">
        <v>5</v>
      </c>
      <c r="D20" s="10">
        <v>4</v>
      </c>
      <c r="E20" s="10">
        <v>5</v>
      </c>
      <c r="F20" s="10">
        <v>4</v>
      </c>
      <c r="G20" s="10">
        <f t="shared" si="2"/>
        <v>4</v>
      </c>
      <c r="H20" s="10">
        <f t="shared" si="3"/>
        <v>12</v>
      </c>
      <c r="I20" s="10">
        <f t="shared" si="9"/>
        <v>5</v>
      </c>
      <c r="J20" s="11">
        <f t="shared" si="10"/>
        <v>8</v>
      </c>
      <c r="K20" s="16">
        <v>477.22899999999998</v>
      </c>
      <c r="L20" s="17">
        <v>255.77099999999999</v>
      </c>
      <c r="M20" s="17">
        <v>186.471</v>
      </c>
      <c r="N20" s="17">
        <v>181.27699999999999</v>
      </c>
      <c r="O20" s="17">
        <v>153.846</v>
      </c>
      <c r="P20" s="10">
        <f t="shared" si="4"/>
        <v>153.846</v>
      </c>
      <c r="Q20" s="10">
        <f t="shared" si="5"/>
        <v>477.22899999999998</v>
      </c>
      <c r="R20" s="10">
        <f t="shared" si="6"/>
        <v>250.9188</v>
      </c>
      <c r="S20" s="10">
        <f t="shared" si="7"/>
        <v>131.97204078970668</v>
      </c>
      <c r="T20" s="10">
        <f t="shared" si="8"/>
        <v>59.019690867031834</v>
      </c>
    </row>
    <row r="21" spans="1:23" x14ac:dyDescent="0.2">
      <c r="A21" s="3"/>
      <c r="B21" s="12"/>
      <c r="C21" s="12"/>
      <c r="D21" s="12"/>
      <c r="E21" s="12"/>
      <c r="F21" s="12"/>
      <c r="G21" s="12"/>
      <c r="H21" s="12"/>
      <c r="I21" s="2">
        <f>MEDIAN(B16:F20)</f>
        <v>5</v>
      </c>
      <c r="J21" s="2">
        <f>MAX(B16:F20)-MIN(B16:F20)</f>
        <v>8</v>
      </c>
      <c r="R21" s="18">
        <f>AVERAGE(K16:O20)</f>
        <v>225.12875999999997</v>
      </c>
      <c r="S21" s="18">
        <f>STDEV(K16:O20)</f>
        <v>78.192084215880541</v>
      </c>
      <c r="T21" s="2">
        <f>S21/SQRT(COUNT(K16:O20))</f>
        <v>15.638416843176108</v>
      </c>
    </row>
    <row r="26" spans="1:23" x14ac:dyDescent="0.2">
      <c r="A26" s="19"/>
      <c r="B26" s="52" t="s">
        <v>0</v>
      </c>
      <c r="C26" s="53"/>
      <c r="D26" s="53"/>
      <c r="E26" s="53"/>
      <c r="F26" s="53"/>
      <c r="G26" s="53"/>
      <c r="H26" s="53"/>
      <c r="I26" s="53"/>
      <c r="J26" s="53"/>
      <c r="K26" s="52" t="s">
        <v>1</v>
      </c>
      <c r="L26" s="53"/>
      <c r="M26" s="53"/>
      <c r="N26" s="53"/>
      <c r="O26" s="53"/>
      <c r="P26" s="53"/>
      <c r="Q26" s="53"/>
      <c r="R26" s="53"/>
      <c r="S26" s="53"/>
      <c r="T26" s="20"/>
      <c r="U26" s="21"/>
      <c r="V26" s="21"/>
      <c r="W26" s="21"/>
    </row>
    <row r="27" spans="1:23" x14ac:dyDescent="0.2">
      <c r="A27" s="22" t="s">
        <v>2</v>
      </c>
      <c r="B27" s="23">
        <v>1</v>
      </c>
      <c r="C27" s="23">
        <v>2</v>
      </c>
      <c r="D27" s="23">
        <v>3</v>
      </c>
      <c r="E27" s="23">
        <v>4</v>
      </c>
      <c r="F27" s="23">
        <v>5</v>
      </c>
      <c r="G27" s="23" t="s">
        <v>3</v>
      </c>
      <c r="H27" s="23" t="s">
        <v>4</v>
      </c>
      <c r="I27" s="5" t="s">
        <v>24</v>
      </c>
      <c r="J27" s="23" t="s">
        <v>23</v>
      </c>
      <c r="K27" s="24">
        <v>1</v>
      </c>
      <c r="L27" s="23">
        <v>2</v>
      </c>
      <c r="M27" s="23">
        <v>3</v>
      </c>
      <c r="N27" s="23">
        <v>4</v>
      </c>
      <c r="O27" s="23">
        <v>5</v>
      </c>
      <c r="P27" s="23" t="s">
        <v>3</v>
      </c>
      <c r="Q27" s="23" t="s">
        <v>4</v>
      </c>
      <c r="R27" s="23" t="s">
        <v>5</v>
      </c>
      <c r="S27" s="23" t="s">
        <v>6</v>
      </c>
      <c r="T27" s="23" t="s">
        <v>7</v>
      </c>
      <c r="U27" s="21"/>
      <c r="V27" s="21"/>
      <c r="W27" s="21"/>
    </row>
    <row r="28" spans="1:23" x14ac:dyDescent="0.2">
      <c r="A28" s="25" t="s">
        <v>18</v>
      </c>
      <c r="B28" s="26">
        <v>4</v>
      </c>
      <c r="C28" s="26">
        <v>6</v>
      </c>
      <c r="D28" s="26">
        <v>4</v>
      </c>
      <c r="E28" s="26">
        <v>6</v>
      </c>
      <c r="F28" s="26">
        <v>11</v>
      </c>
      <c r="G28" s="26">
        <f>MIN(B28:F28)</f>
        <v>4</v>
      </c>
      <c r="H28" s="26">
        <f>MAX(B28:F28)</f>
        <v>11</v>
      </c>
      <c r="I28" s="8">
        <f>MEDIAN(B28:F28)</f>
        <v>6</v>
      </c>
      <c r="J28" s="8">
        <f>H28-G28</f>
        <v>7</v>
      </c>
      <c r="K28" s="27">
        <v>126.694</v>
      </c>
      <c r="L28">
        <v>199.63900000000001</v>
      </c>
      <c r="M28">
        <v>153.46600000000001</v>
      </c>
      <c r="N28">
        <v>191.14599999999999</v>
      </c>
      <c r="O28">
        <v>312.96499999999997</v>
      </c>
      <c r="P28" s="26">
        <f>MIN(K28:O28)</f>
        <v>126.694</v>
      </c>
      <c r="Q28" s="26">
        <f>MAX(K28:O28)</f>
        <v>312.96499999999997</v>
      </c>
      <c r="R28" s="26">
        <f>AVERAGE(K28:O28)</f>
        <v>196.78200000000001</v>
      </c>
      <c r="S28" s="26">
        <f>STDEV(K28:O28)</f>
        <v>71.286429343178554</v>
      </c>
      <c r="T28" s="26">
        <f>S28/SQRT(COUNT(K28:O28))</f>
        <v>31.880260376916585</v>
      </c>
    </row>
    <row r="29" spans="1:23" x14ac:dyDescent="0.2">
      <c r="A29" s="25" t="s">
        <v>19</v>
      </c>
      <c r="B29" s="26">
        <v>4</v>
      </c>
      <c r="C29" s="26">
        <v>1</v>
      </c>
      <c r="D29" s="26">
        <v>5</v>
      </c>
      <c r="E29" s="26">
        <v>6</v>
      </c>
      <c r="F29" s="26">
        <v>5</v>
      </c>
      <c r="G29" s="26">
        <f>MIN(B29:F29)</f>
        <v>1</v>
      </c>
      <c r="H29" s="26">
        <f>MAX(B29:F29)</f>
        <v>6</v>
      </c>
      <c r="I29" s="8">
        <f t="shared" ref="I29:I32" si="11">MEDIAN(B29:F29)</f>
        <v>5</v>
      </c>
      <c r="J29" s="8">
        <f t="shared" ref="J29:J32" si="12">H29-G29</f>
        <v>5</v>
      </c>
      <c r="K29" s="15">
        <v>118.824</v>
      </c>
      <c r="L29">
        <v>72.421000000000006</v>
      </c>
      <c r="M29">
        <v>132.25899999999999</v>
      </c>
      <c r="N29">
        <v>175.79499999999999</v>
      </c>
      <c r="O29">
        <v>160.82900000000001</v>
      </c>
      <c r="P29" s="26">
        <f>MIN(K29:O29)</f>
        <v>72.421000000000006</v>
      </c>
      <c r="Q29" s="26">
        <f>MAX(K29:O29)</f>
        <v>175.79499999999999</v>
      </c>
      <c r="R29" s="26">
        <f>AVERAGE(K29:O29)</f>
        <v>132.0256</v>
      </c>
      <c r="S29" s="26">
        <f>STDEV(K29:O29)</f>
        <v>40.225742029203218</v>
      </c>
      <c r="T29" s="26">
        <f t="shared" ref="T29:T32" si="13">S29/SQRT(COUNT(K29:O29))</f>
        <v>17.989498724533743</v>
      </c>
    </row>
    <row r="30" spans="1:23" x14ac:dyDescent="0.2">
      <c r="A30" s="25" t="s">
        <v>20</v>
      </c>
      <c r="B30" s="26">
        <v>3</v>
      </c>
      <c r="C30" s="26">
        <v>3</v>
      </c>
      <c r="D30" s="26">
        <v>4</v>
      </c>
      <c r="E30" s="26">
        <v>6</v>
      </c>
      <c r="F30" s="26">
        <v>4</v>
      </c>
      <c r="G30" s="26">
        <f>MIN(B30:F30)</f>
        <v>3</v>
      </c>
      <c r="H30" s="26">
        <f>MAX(B30:F30)</f>
        <v>6</v>
      </c>
      <c r="I30" s="8">
        <f t="shared" si="11"/>
        <v>4</v>
      </c>
      <c r="J30" s="8">
        <f t="shared" si="12"/>
        <v>3</v>
      </c>
      <c r="K30" s="15">
        <v>152.42699999999999</v>
      </c>
      <c r="L30">
        <v>134.369</v>
      </c>
      <c r="M30">
        <v>172.50700000000001</v>
      </c>
      <c r="N30">
        <v>274.23500000000001</v>
      </c>
      <c r="O30">
        <v>162.596</v>
      </c>
      <c r="P30" s="26">
        <f>MIN(K30:O30)</f>
        <v>134.369</v>
      </c>
      <c r="Q30" s="26">
        <f>MAX(K30:O30)</f>
        <v>274.23500000000001</v>
      </c>
      <c r="R30" s="26">
        <f>AVERAGE(K30:O30)</f>
        <v>179.2268</v>
      </c>
      <c r="S30" s="26">
        <f>STDEV(K30:O30)</f>
        <v>54.9516805675676</v>
      </c>
      <c r="T30" s="26">
        <f t="shared" si="13"/>
        <v>24.575138645387074</v>
      </c>
    </row>
    <row r="31" spans="1:23" x14ac:dyDescent="0.2">
      <c r="A31" s="25" t="s">
        <v>21</v>
      </c>
      <c r="B31" s="26">
        <v>7</v>
      </c>
      <c r="C31" s="26">
        <v>1</v>
      </c>
      <c r="D31" s="26">
        <v>9</v>
      </c>
      <c r="E31" s="26">
        <v>3</v>
      </c>
      <c r="F31" s="26">
        <v>4</v>
      </c>
      <c r="G31" s="26">
        <f>MIN(B31:F31)</f>
        <v>1</v>
      </c>
      <c r="H31" s="26">
        <f>MAX(B31:F31)</f>
        <v>9</v>
      </c>
      <c r="I31" s="8">
        <f t="shared" si="11"/>
        <v>4</v>
      </c>
      <c r="J31" s="8">
        <f t="shared" si="12"/>
        <v>8</v>
      </c>
      <c r="K31" s="15">
        <v>220.09899999999999</v>
      </c>
      <c r="L31">
        <v>71.891999999999996</v>
      </c>
      <c r="M31">
        <v>293.34699999999998</v>
      </c>
      <c r="N31">
        <v>141.142</v>
      </c>
      <c r="O31">
        <v>148.72</v>
      </c>
      <c r="P31" s="26">
        <f>MIN(K31:O31)</f>
        <v>71.891999999999996</v>
      </c>
      <c r="Q31" s="26">
        <f>MAX(K31:O31)</f>
        <v>293.34699999999998</v>
      </c>
      <c r="R31" s="26">
        <f>AVERAGE(K31:O31)</f>
        <v>175.04000000000002</v>
      </c>
      <c r="S31" s="26">
        <f>STDEV(K31:O31)</f>
        <v>84.421837278633078</v>
      </c>
      <c r="T31" s="26">
        <f t="shared" si="13"/>
        <v>37.75459338808988</v>
      </c>
    </row>
    <row r="32" spans="1:23" x14ac:dyDescent="0.2">
      <c r="A32" s="22" t="s">
        <v>22</v>
      </c>
      <c r="B32" s="28">
        <v>10</v>
      </c>
      <c r="C32" s="28">
        <v>9</v>
      </c>
      <c r="D32" s="28">
        <v>4</v>
      </c>
      <c r="E32" s="28">
        <v>8</v>
      </c>
      <c r="F32" s="28">
        <v>3</v>
      </c>
      <c r="G32" s="28">
        <f>MIN(B32:F32)</f>
        <v>3</v>
      </c>
      <c r="H32" s="28">
        <f>MAX(B32:F32)</f>
        <v>10</v>
      </c>
      <c r="I32" s="10">
        <f t="shared" si="11"/>
        <v>8</v>
      </c>
      <c r="J32" s="11">
        <f t="shared" si="12"/>
        <v>7</v>
      </c>
      <c r="K32" s="16">
        <v>279.48200000000003</v>
      </c>
      <c r="L32" s="17">
        <v>279.892</v>
      </c>
      <c r="M32" s="17">
        <v>165.81299999999999</v>
      </c>
      <c r="N32" s="17">
        <v>267.75299999999999</v>
      </c>
      <c r="O32" s="17">
        <v>129.673</v>
      </c>
      <c r="P32" s="28">
        <f>MIN(K32:O32)</f>
        <v>129.673</v>
      </c>
      <c r="Q32" s="28">
        <f>MAX(K32:O32)</f>
        <v>279.892</v>
      </c>
      <c r="R32" s="28">
        <f>AVERAGE(K32:O32)</f>
        <v>224.52260000000001</v>
      </c>
      <c r="S32" s="28">
        <f>STDEV(K32:O32)</f>
        <v>71.411549033051998</v>
      </c>
      <c r="T32" s="28">
        <f t="shared" si="13"/>
        <v>31.936215603292727</v>
      </c>
    </row>
    <row r="33" spans="1:20" x14ac:dyDescent="0.2">
      <c r="A33" s="21"/>
      <c r="I33" s="2">
        <f>MEDIAN(B28:F32)</f>
        <v>4</v>
      </c>
      <c r="J33" s="2">
        <f>MAX(B28:F32)-MIN(B28:F32)</f>
        <v>10</v>
      </c>
      <c r="R33" s="18">
        <f>AVERAGE(K28:O32)</f>
        <v>181.51939999999996</v>
      </c>
      <c r="S33" s="18">
        <f>STDEV(K28:O32)</f>
        <v>67.909351074919584</v>
      </c>
      <c r="T33" s="18">
        <f>S33/SQRT(COUNT(K28:O32))</f>
        <v>13.581870214983917</v>
      </c>
    </row>
  </sheetData>
  <mergeCells count="6">
    <mergeCell ref="B1:J1"/>
    <mergeCell ref="K1:S1"/>
    <mergeCell ref="B14:J14"/>
    <mergeCell ref="K14:S14"/>
    <mergeCell ref="B26:J26"/>
    <mergeCell ref="K26:S26"/>
  </mergeCells>
  <pageMargins left="0.7" right="0.7" top="0.75" bottom="0.75" header="0.3" footer="0.3"/>
  <ignoredErrors>
    <ignoredError sqref="I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Physiology</vt:lpstr>
      <vt:lpstr>Stable Isotopes</vt:lpstr>
      <vt:lpstr>Anatomy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Young, Sophie</cp:lastModifiedBy>
  <dcterms:created xsi:type="dcterms:W3CDTF">2022-05-11T12:41:11Z</dcterms:created>
  <dcterms:modified xsi:type="dcterms:W3CDTF">2022-05-25T14:44:21Z</dcterms:modified>
</cp:coreProperties>
</file>