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4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5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6.xml" ContentType="application/vnd.openxmlformats-officedocument.drawing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31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2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4.xml" ContentType="application/vnd.openxmlformats-officedocument.drawingml.chart+xml"/>
  <Override PartName="/xl/drawings/drawing7.xml" ContentType="application/vnd.openxmlformats-officedocument.drawing+xml"/>
  <Override PartName="/xl/charts/chart35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8.xml" ContentType="application/vnd.openxmlformats-officedocument.drawing+xml"/>
  <Override PartName="/xl/charts/chart36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9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40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41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42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4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6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7.xml" ContentType="application/vnd.openxmlformats-officedocument.drawingml.chart+xml"/>
  <Override PartName="/xl/drawings/drawing10.xml" ContentType="application/vnd.openxmlformats-officedocument.drawing+xml"/>
  <Override PartName="/xl/charts/chart48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drawings/drawing11.xml" ContentType="application/vnd.openxmlformats-officedocument.drawing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drawings/drawing12.xml" ContentType="application/vnd.openxmlformats-officedocument.drawing+xml"/>
  <Override PartName="/xl/charts/chart52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53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era\OneDrive\Desktop\"/>
    </mc:Choice>
  </mc:AlternateContent>
  <xr:revisionPtr revIDLastSave="0" documentId="13_ncr:1_{7B889F38-D9A9-4769-8F3B-5ED2F71BDEF8}" xr6:coauthVersionLast="47" xr6:coauthVersionMax="47" xr10:uidLastSave="{00000000-0000-0000-0000-000000000000}"/>
  <bookViews>
    <workbookView xWindow="-120" yWindow="-120" windowWidth="29040" windowHeight="15840" activeTab="9" xr2:uid="{C2C33965-462B-3644-BFD0-185AD7D75948}"/>
  </bookViews>
  <sheets>
    <sheet name="M1" sheetId="6" r:id="rId1"/>
    <sheet name="P1" sheetId="1" r:id="rId2"/>
    <sheet name="P2" sheetId="4" r:id="rId3"/>
    <sheet name="P3" sheetId="3" r:id="rId4"/>
    <sheet name="P4" sheetId="2" r:id="rId5"/>
    <sheet name="P1-P4" sheetId="5" r:id="rId6"/>
    <sheet name="P5" sheetId="9" r:id="rId7"/>
    <sheet name="P6" sheetId="10" r:id="rId8"/>
    <sheet name="P1-P6" sheetId="11" r:id="rId9"/>
    <sheet name="John" sheetId="12" r:id="rId10"/>
    <sheet name="CNW15 (CP2)" sheetId="7" r:id="rId11"/>
    <sheet name="CNW16 (CP1)" sheetId="8" r:id="rId12"/>
  </sheets>
  <externalReferences>
    <externalReference r:id="rId13"/>
  </externalReferences>
  <definedNames>
    <definedName name="_xlnm.Print_Area" localSheetId="10">'CNW15 (CP2)'!$A$3:$R$46</definedName>
    <definedName name="_xlnm.Print_Area" localSheetId="1">'P1'!$B$2:$W$47</definedName>
    <definedName name="_xlnm.Print_Area" localSheetId="2">'P2'!$B$2:$V$47</definedName>
    <definedName name="_xlnm.Print_Area" localSheetId="3">'P3'!$D$4:$Y$45</definedName>
    <definedName name="_xlnm.Print_Area" localSheetId="4">'P4'!$C$3:$X$42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3" i="12" l="1"/>
  <c r="N24" i="12"/>
  <c r="N25" i="12"/>
  <c r="N26" i="12"/>
  <c r="N27" i="12"/>
  <c r="M23" i="12"/>
  <c r="M24" i="12"/>
  <c r="M25" i="12"/>
  <c r="M26" i="12"/>
  <c r="M27" i="12"/>
  <c r="M28" i="12"/>
  <c r="N28" i="12" s="1"/>
  <c r="M29" i="12"/>
  <c r="N29" i="12" s="1"/>
  <c r="P18" i="12"/>
  <c r="Q18" i="12" s="1"/>
  <c r="M19" i="12"/>
  <c r="M20" i="12"/>
  <c r="N20" i="12" s="1"/>
  <c r="M21" i="12"/>
  <c r="M22" i="12"/>
  <c r="M18" i="12"/>
  <c r="N18" i="12" s="1"/>
  <c r="H65" i="12"/>
  <c r="I65" i="12" s="1"/>
  <c r="H51" i="12"/>
  <c r="I51" i="12" s="1"/>
  <c r="H40" i="12"/>
  <c r="I40" i="12" s="1"/>
  <c r="H29" i="12"/>
  <c r="I29" i="12" s="1"/>
  <c r="H18" i="12"/>
  <c r="I18" i="12" s="1"/>
  <c r="H6" i="12"/>
  <c r="I6" i="12" s="1"/>
  <c r="F53" i="12"/>
  <c r="F59" i="12"/>
  <c r="F44" i="12"/>
  <c r="F40" i="12"/>
  <c r="F32" i="12"/>
  <c r="F35" i="12"/>
  <c r="F7" i="12"/>
  <c r="F10" i="12"/>
  <c r="F13" i="12"/>
  <c r="E43" i="12"/>
  <c r="E66" i="12"/>
  <c r="F66" i="12" s="1"/>
  <c r="E67" i="12"/>
  <c r="F67" i="12" s="1"/>
  <c r="E68" i="12"/>
  <c r="F68" i="12" s="1"/>
  <c r="E69" i="12"/>
  <c r="F69" i="12" s="1"/>
  <c r="E70" i="12"/>
  <c r="F70" i="12" s="1"/>
  <c r="E71" i="12"/>
  <c r="E72" i="12"/>
  <c r="F72" i="12" s="1"/>
  <c r="E73" i="12"/>
  <c r="F73" i="12" s="1"/>
  <c r="E74" i="12"/>
  <c r="F74" i="12" s="1"/>
  <c r="E65" i="12"/>
  <c r="F65" i="12" s="1"/>
  <c r="E52" i="12"/>
  <c r="F52" i="12" s="1"/>
  <c r="E53" i="12"/>
  <c r="E54" i="12"/>
  <c r="F54" i="12" s="1"/>
  <c r="E55" i="12"/>
  <c r="F55" i="12" s="1"/>
  <c r="E56" i="12"/>
  <c r="F56" i="12" s="1"/>
  <c r="E57" i="12"/>
  <c r="F57" i="12" s="1"/>
  <c r="E58" i="12"/>
  <c r="F58" i="12" s="1"/>
  <c r="E59" i="12"/>
  <c r="E60" i="12"/>
  <c r="F60" i="12" s="1"/>
  <c r="E51" i="12"/>
  <c r="F51" i="12" s="1"/>
  <c r="E41" i="12"/>
  <c r="F41" i="12" s="1"/>
  <c r="E42" i="12"/>
  <c r="F42" i="12" s="1"/>
  <c r="E44" i="12"/>
  <c r="E45" i="12"/>
  <c r="F45" i="12" s="1"/>
  <c r="E46" i="12"/>
  <c r="F46" i="12" s="1"/>
  <c r="E40" i="12"/>
  <c r="F43" i="12" s="1"/>
  <c r="E30" i="12"/>
  <c r="F30" i="12" s="1"/>
  <c r="E31" i="12"/>
  <c r="F31" i="12" s="1"/>
  <c r="E32" i="12"/>
  <c r="E33" i="12"/>
  <c r="F33" i="12" s="1"/>
  <c r="E34" i="12"/>
  <c r="F34" i="12" s="1"/>
  <c r="E35" i="12"/>
  <c r="E29" i="12"/>
  <c r="F29" i="12" s="1"/>
  <c r="E19" i="12"/>
  <c r="F19" i="12" s="1"/>
  <c r="E20" i="12"/>
  <c r="E21" i="12"/>
  <c r="F21" i="12" s="1"/>
  <c r="E22" i="12"/>
  <c r="F22" i="12" s="1"/>
  <c r="E23" i="12"/>
  <c r="E24" i="12"/>
  <c r="F24" i="12" s="1"/>
  <c r="E18" i="12"/>
  <c r="F23" i="12" s="1"/>
  <c r="E7" i="12"/>
  <c r="E8" i="12"/>
  <c r="F8" i="12" s="1"/>
  <c r="E9" i="12"/>
  <c r="F9" i="12" s="1"/>
  <c r="E10" i="12"/>
  <c r="E11" i="12"/>
  <c r="F11" i="12" s="1"/>
  <c r="E12" i="12"/>
  <c r="F12" i="12" s="1"/>
  <c r="E13" i="12"/>
  <c r="E6" i="12"/>
  <c r="F6" i="12" s="1"/>
  <c r="F18" i="12" l="1"/>
  <c r="N21" i="12"/>
  <c r="F71" i="12"/>
  <c r="N22" i="12"/>
  <c r="F20" i="12"/>
  <c r="N19" i="12"/>
  <c r="P51" i="7"/>
  <c r="N52" i="7"/>
  <c r="O52" i="7" s="1"/>
  <c r="N51" i="7"/>
  <c r="O51" i="7" s="1"/>
  <c r="P7" i="7"/>
  <c r="P8" i="7"/>
  <c r="P9" i="7"/>
  <c r="P10" i="7"/>
  <c r="P11" i="7"/>
  <c r="P12" i="7"/>
  <c r="P13" i="7"/>
  <c r="P14" i="7"/>
  <c r="E18" i="10"/>
  <c r="F18" i="10"/>
  <c r="G18" i="10"/>
  <c r="E19" i="10"/>
  <c r="F19" i="10"/>
  <c r="G19" i="10"/>
  <c r="E20" i="10"/>
  <c r="F20" i="10"/>
  <c r="G20" i="10"/>
  <c r="E21" i="10"/>
  <c r="F21" i="10"/>
  <c r="G21" i="10"/>
  <c r="E22" i="10"/>
  <c r="F22" i="10"/>
  <c r="G22" i="10"/>
  <c r="E23" i="10"/>
  <c r="F23" i="10"/>
  <c r="G23" i="10"/>
  <c r="E24" i="10"/>
  <c r="F24" i="10"/>
  <c r="G24" i="10"/>
  <c r="E25" i="10"/>
  <c r="F25" i="10"/>
  <c r="G25" i="10"/>
  <c r="E26" i="10"/>
  <c r="F26" i="10"/>
  <c r="G26" i="10"/>
  <c r="G17" i="10"/>
  <c r="F17" i="10"/>
  <c r="E17" i="10"/>
  <c r="H18" i="9"/>
  <c r="I18" i="9"/>
  <c r="H19" i="9"/>
  <c r="I19" i="9"/>
  <c r="H20" i="9"/>
  <c r="I20" i="9"/>
  <c r="H21" i="9"/>
  <c r="I21" i="9"/>
  <c r="H22" i="9"/>
  <c r="I22" i="9"/>
  <c r="H23" i="9"/>
  <c r="I23" i="9"/>
  <c r="H24" i="9"/>
  <c r="I24" i="9"/>
  <c r="H25" i="9"/>
  <c r="I25" i="9"/>
  <c r="H26" i="9"/>
  <c r="I26" i="9"/>
  <c r="I17" i="9"/>
  <c r="H17" i="9"/>
  <c r="P52" i="7" l="1"/>
  <c r="Q15" i="7" l="1"/>
  <c r="U6" i="7"/>
  <c r="R7" i="7"/>
  <c r="BS13" i="4" l="1"/>
  <c r="BS12" i="4"/>
  <c r="Q110" i="11" l="1"/>
  <c r="S110" i="11" s="1"/>
  <c r="L110" i="11" s="1"/>
  <c r="AC42" i="1"/>
  <c r="Q111" i="11"/>
  <c r="S111" i="11" s="1"/>
  <c r="L115" i="11" s="1"/>
  <c r="Q112" i="11"/>
  <c r="S112" i="11" s="1"/>
  <c r="L114" i="11" s="1"/>
  <c r="Q113" i="11"/>
  <c r="S113" i="11" s="1"/>
  <c r="L113" i="11" s="1"/>
  <c r="Q114" i="11"/>
  <c r="S114" i="11" s="1"/>
  <c r="L112" i="11" s="1"/>
  <c r="Q109" i="11"/>
  <c r="S109" i="11" s="1"/>
  <c r="L111" i="11" s="1"/>
  <c r="P8" i="10"/>
  <c r="P14" i="10"/>
  <c r="Q14" i="10"/>
  <c r="O14" i="10"/>
  <c r="Q13" i="10"/>
  <c r="O13" i="10"/>
  <c r="P13" i="10" s="1"/>
  <c r="Q12" i="10"/>
  <c r="O12" i="10"/>
  <c r="Q11" i="10"/>
  <c r="O11" i="10"/>
  <c r="P11" i="10" s="1"/>
  <c r="Q10" i="10"/>
  <c r="O10" i="10"/>
  <c r="P10" i="10" s="1"/>
  <c r="Q9" i="10"/>
  <c r="O9" i="10"/>
  <c r="P9" i="10" s="1"/>
  <c r="Q8" i="10"/>
  <c r="O8" i="10"/>
  <c r="Q7" i="10"/>
  <c r="O7" i="10"/>
  <c r="P7" i="10" s="1"/>
  <c r="Q6" i="10"/>
  <c r="O6" i="10"/>
  <c r="P6" i="10" s="1"/>
  <c r="Q5" i="10"/>
  <c r="O5" i="10"/>
  <c r="P5" i="10" s="1"/>
  <c r="I14" i="10"/>
  <c r="G14" i="10"/>
  <c r="J14" i="10" s="1"/>
  <c r="I13" i="10"/>
  <c r="G13" i="10"/>
  <c r="J13" i="10" s="1"/>
  <c r="I12" i="10"/>
  <c r="G12" i="10"/>
  <c r="J12" i="10" s="1"/>
  <c r="K12" i="10" s="1"/>
  <c r="I11" i="10"/>
  <c r="G11" i="10"/>
  <c r="I10" i="10"/>
  <c r="G10" i="10"/>
  <c r="J10" i="10" s="1"/>
  <c r="K10" i="10" s="1"/>
  <c r="I9" i="10"/>
  <c r="G9" i="10"/>
  <c r="J9" i="10" s="1"/>
  <c r="I8" i="10"/>
  <c r="G8" i="10"/>
  <c r="J8" i="10" s="1"/>
  <c r="K8" i="10" s="1"/>
  <c r="I7" i="10"/>
  <c r="G7" i="10"/>
  <c r="J7" i="10" s="1"/>
  <c r="J6" i="10"/>
  <c r="K6" i="10" s="1"/>
  <c r="I6" i="10"/>
  <c r="G6" i="10"/>
  <c r="I5" i="10"/>
  <c r="G5" i="10"/>
  <c r="S40" i="11"/>
  <c r="S39" i="11"/>
  <c r="Q39" i="11"/>
  <c r="Q40" i="11" s="1"/>
  <c r="T40" i="11" s="1"/>
  <c r="U40" i="11" s="1"/>
  <c r="S7" i="9"/>
  <c r="S8" i="9"/>
  <c r="S9" i="9"/>
  <c r="S10" i="9"/>
  <c r="S11" i="9"/>
  <c r="S12" i="9"/>
  <c r="S13" i="9"/>
  <c r="S14" i="9"/>
  <c r="S15" i="9"/>
  <c r="S6" i="9"/>
  <c r="R9" i="9"/>
  <c r="R10" i="9"/>
  <c r="R15" i="9"/>
  <c r="R6" i="9"/>
  <c r="Q7" i="9"/>
  <c r="Q8" i="9"/>
  <c r="Q9" i="9"/>
  <c r="Q10" i="9"/>
  <c r="Q11" i="9"/>
  <c r="R11" i="9" s="1"/>
  <c r="Q12" i="9"/>
  <c r="R12" i="9" s="1"/>
  <c r="Q13" i="9"/>
  <c r="Q14" i="9"/>
  <c r="Q15" i="9"/>
  <c r="Q6" i="9"/>
  <c r="R7" i="9" s="1"/>
  <c r="N7" i="9"/>
  <c r="K18" i="9" s="1"/>
  <c r="K15" i="9"/>
  <c r="N15" i="9" s="1"/>
  <c r="K26" i="9" s="1"/>
  <c r="I15" i="9"/>
  <c r="L15" i="9" s="1"/>
  <c r="K14" i="9"/>
  <c r="I14" i="9"/>
  <c r="K13" i="9"/>
  <c r="I13" i="9"/>
  <c r="K12" i="9"/>
  <c r="I12" i="9"/>
  <c r="L12" i="9" s="1"/>
  <c r="K11" i="9"/>
  <c r="I11" i="9"/>
  <c r="L11" i="9" s="1"/>
  <c r="M11" i="9" s="1"/>
  <c r="K10" i="9"/>
  <c r="N10" i="9" s="1"/>
  <c r="K21" i="9" s="1"/>
  <c r="I10" i="9"/>
  <c r="L10" i="9" s="1"/>
  <c r="K9" i="9"/>
  <c r="N9" i="9" s="1"/>
  <c r="K20" i="9" s="1"/>
  <c r="I9" i="9"/>
  <c r="L9" i="9" s="1"/>
  <c r="K8" i="9"/>
  <c r="I8" i="9"/>
  <c r="K7" i="9"/>
  <c r="I7" i="9"/>
  <c r="L7" i="9" s="1"/>
  <c r="K6" i="9"/>
  <c r="I6" i="9"/>
  <c r="L6" i="9" s="1"/>
  <c r="N12" i="9" s="1"/>
  <c r="K23" i="9" s="1"/>
  <c r="H24" i="10" l="1"/>
  <c r="R12" i="10"/>
  <c r="J24" i="10" s="1"/>
  <c r="J22" i="9"/>
  <c r="T11" i="9"/>
  <c r="L22" i="9" s="1"/>
  <c r="H22" i="10"/>
  <c r="R10" i="10"/>
  <c r="J22" i="10" s="1"/>
  <c r="N11" i="9"/>
  <c r="K22" i="9" s="1"/>
  <c r="H20" i="10"/>
  <c r="R8" i="10"/>
  <c r="J20" i="10" s="1"/>
  <c r="H18" i="10"/>
  <c r="R6" i="10"/>
  <c r="J18" i="10" s="1"/>
  <c r="R14" i="9"/>
  <c r="R8" i="9"/>
  <c r="J5" i="10"/>
  <c r="L9" i="10" s="1"/>
  <c r="I21" i="10" s="1"/>
  <c r="P12" i="10"/>
  <c r="R13" i="9"/>
  <c r="N6" i="9"/>
  <c r="K17" i="9" s="1"/>
  <c r="T39" i="11"/>
  <c r="U39" i="11" s="1"/>
  <c r="L13" i="9"/>
  <c r="N13" i="9" s="1"/>
  <c r="K24" i="9" s="1"/>
  <c r="L6" i="10"/>
  <c r="I18" i="10" s="1"/>
  <c r="J11" i="10"/>
  <c r="K11" i="10"/>
  <c r="K14" i="10"/>
  <c r="K7" i="10"/>
  <c r="K9" i="10"/>
  <c r="K13" i="10"/>
  <c r="M12" i="9"/>
  <c r="M15" i="9"/>
  <c r="M9" i="9"/>
  <c r="M6" i="9"/>
  <c r="M10" i="9"/>
  <c r="L14" i="9"/>
  <c r="N14" i="9" s="1"/>
  <c r="K25" i="9" s="1"/>
  <c r="M14" i="9"/>
  <c r="L8" i="9"/>
  <c r="N8" i="9" s="1"/>
  <c r="K19" i="9" s="1"/>
  <c r="M8" i="9"/>
  <c r="M7" i="9"/>
  <c r="H21" i="10" l="1"/>
  <c r="R9" i="10"/>
  <c r="J21" i="10" s="1"/>
  <c r="J20" i="9"/>
  <c r="T9" i="9"/>
  <c r="L20" i="9" s="1"/>
  <c r="J18" i="9"/>
  <c r="T7" i="9"/>
  <c r="L18" i="9" s="1"/>
  <c r="H19" i="10"/>
  <c r="R7" i="10"/>
  <c r="J19" i="10" s="1"/>
  <c r="L8" i="10"/>
  <c r="I20" i="10" s="1"/>
  <c r="M13" i="9"/>
  <c r="H23" i="10"/>
  <c r="R11" i="10"/>
  <c r="J23" i="10" s="1"/>
  <c r="L11" i="10"/>
  <c r="I23" i="10" s="1"/>
  <c r="J17" i="9"/>
  <c r="T6" i="9"/>
  <c r="L17" i="9" s="1"/>
  <c r="J26" i="9"/>
  <c r="T15" i="9"/>
  <c r="L26" i="9" s="1"/>
  <c r="L12" i="10"/>
  <c r="I24" i="10" s="1"/>
  <c r="L14" i="10"/>
  <c r="I26" i="10" s="1"/>
  <c r="J21" i="9"/>
  <c r="T10" i="9"/>
  <c r="L21" i="9" s="1"/>
  <c r="L5" i="10"/>
  <c r="I17" i="10" s="1"/>
  <c r="J19" i="9"/>
  <c r="T8" i="9"/>
  <c r="L19" i="9" s="1"/>
  <c r="K5" i="10"/>
  <c r="H26" i="10"/>
  <c r="R14" i="10"/>
  <c r="J26" i="10" s="1"/>
  <c r="J25" i="9"/>
  <c r="T14" i="9"/>
  <c r="L25" i="9" s="1"/>
  <c r="J23" i="9"/>
  <c r="T12" i="9"/>
  <c r="L23" i="9" s="1"/>
  <c r="L13" i="10"/>
  <c r="I25" i="10" s="1"/>
  <c r="H25" i="10"/>
  <c r="R13" i="10"/>
  <c r="J25" i="10" s="1"/>
  <c r="L10" i="10"/>
  <c r="I22" i="10" s="1"/>
  <c r="L7" i="10"/>
  <c r="I19" i="10" s="1"/>
  <c r="AC9" i="3"/>
  <c r="BR13" i="4"/>
  <c r="BR12" i="4"/>
  <c r="AA7" i="1"/>
  <c r="J24" i="9" l="1"/>
  <c r="T13" i="9"/>
  <c r="L24" i="9" s="1"/>
  <c r="R5" i="10"/>
  <c r="J17" i="10" s="1"/>
  <c r="H17" i="10"/>
  <c r="AA25" i="7"/>
  <c r="AA26" i="7" s="1"/>
  <c r="R8" i="7"/>
  <c r="R9" i="7"/>
  <c r="R10" i="7"/>
  <c r="R11" i="7"/>
  <c r="R12" i="7"/>
  <c r="R13" i="7"/>
  <c r="R14" i="7"/>
  <c r="R6" i="7"/>
  <c r="S22" i="8"/>
  <c r="S23" i="8" s="1"/>
  <c r="P17" i="8"/>
  <c r="P16" i="8" s="1"/>
  <c r="O10" i="8"/>
  <c r="M10" i="8"/>
  <c r="H10" i="8"/>
  <c r="N10" i="8" s="1"/>
  <c r="G10" i="8"/>
  <c r="O9" i="8"/>
  <c r="M9" i="8"/>
  <c r="H9" i="8"/>
  <c r="N9" i="8" s="1"/>
  <c r="G9" i="8"/>
  <c r="O8" i="8"/>
  <c r="M8" i="8"/>
  <c r="H8" i="8"/>
  <c r="N8" i="8" s="1"/>
  <c r="P8" i="8" s="1"/>
  <c r="G8" i="8"/>
  <c r="O7" i="8"/>
  <c r="M7" i="8"/>
  <c r="H7" i="8"/>
  <c r="N7" i="8" s="1"/>
  <c r="P7" i="8" s="1"/>
  <c r="G7" i="8"/>
  <c r="H6" i="8"/>
  <c r="N6" i="8" s="1"/>
  <c r="P6" i="8" s="1"/>
  <c r="G6" i="8"/>
  <c r="W29" i="7"/>
  <c r="W30" i="7" s="1"/>
  <c r="W31" i="7" s="1"/>
  <c r="W32" i="7" s="1"/>
  <c r="V26" i="7"/>
  <c r="H18" i="7"/>
  <c r="V17" i="7"/>
  <c r="V16" i="7"/>
  <c r="P15" i="7"/>
  <c r="U13" i="7"/>
  <c r="O14" i="7"/>
  <c r="N59" i="7" s="1"/>
  <c r="H14" i="7"/>
  <c r="I14" i="7" s="1"/>
  <c r="Q14" i="7" s="1"/>
  <c r="G14" i="7"/>
  <c r="O13" i="7"/>
  <c r="N58" i="7" s="1"/>
  <c r="H13" i="7"/>
  <c r="G13" i="7"/>
  <c r="U12" i="7"/>
  <c r="O12" i="7"/>
  <c r="N57" i="7" s="1"/>
  <c r="H12" i="7"/>
  <c r="I12" i="7" s="1"/>
  <c r="Q12" i="7" s="1"/>
  <c r="G12" i="7"/>
  <c r="U11" i="7"/>
  <c r="O11" i="7"/>
  <c r="N56" i="7" s="1"/>
  <c r="H11" i="7"/>
  <c r="G11" i="7"/>
  <c r="U10" i="7"/>
  <c r="O10" i="7"/>
  <c r="N55" i="7" s="1"/>
  <c r="H10" i="7"/>
  <c r="G10" i="7"/>
  <c r="U9" i="7"/>
  <c r="O9" i="7"/>
  <c r="N54" i="7" s="1"/>
  <c r="H9" i="7"/>
  <c r="I9" i="7" s="1"/>
  <c r="Q9" i="7" s="1"/>
  <c r="G9" i="7"/>
  <c r="U8" i="7"/>
  <c r="O8" i="7"/>
  <c r="N53" i="7" s="1"/>
  <c r="J8" i="7"/>
  <c r="H8" i="7"/>
  <c r="I8" i="7" s="1"/>
  <c r="Q8" i="7" s="1"/>
  <c r="G8" i="7"/>
  <c r="U7" i="7"/>
  <c r="H7" i="7"/>
  <c r="G7" i="7"/>
  <c r="H6" i="7"/>
  <c r="G6" i="7"/>
  <c r="P55" i="7" l="1"/>
  <c r="O55" i="7"/>
  <c r="O54" i="7"/>
  <c r="P54" i="7"/>
  <c r="P57" i="7"/>
  <c r="O57" i="7"/>
  <c r="J6" i="7"/>
  <c r="I6" i="7"/>
  <c r="Q6" i="7" s="1"/>
  <c r="O59" i="7"/>
  <c r="P59" i="7"/>
  <c r="O58" i="7"/>
  <c r="P58" i="7"/>
  <c r="I11" i="7"/>
  <c r="Q11" i="7" s="1"/>
  <c r="O53" i="7"/>
  <c r="P53" i="7"/>
  <c r="P56" i="7"/>
  <c r="O56" i="7"/>
  <c r="I7" i="7"/>
  <c r="Q7" i="7" s="1"/>
  <c r="I10" i="7"/>
  <c r="Q10" i="7" s="1"/>
  <c r="I13" i="7"/>
  <c r="Q13" i="7" s="1"/>
  <c r="BC8" i="4"/>
  <c r="BR8" i="4" s="1"/>
  <c r="BC7" i="4"/>
  <c r="BR7" i="4" s="1"/>
  <c r="AC43" i="1" l="1"/>
  <c r="U8" i="1"/>
  <c r="U9" i="1"/>
  <c r="Y9" i="1" s="1"/>
  <c r="U10" i="1"/>
  <c r="Y10" i="1" s="1"/>
  <c r="U11" i="1"/>
  <c r="Y11" i="1" s="1"/>
  <c r="U12" i="1"/>
  <c r="Y12" i="1" s="1"/>
  <c r="U13" i="1"/>
  <c r="U7" i="1"/>
  <c r="Y7" i="1" s="1"/>
  <c r="V59" i="2"/>
  <c r="V60" i="2" s="1"/>
  <c r="V51" i="2"/>
  <c r="V52" i="2" s="1"/>
  <c r="K7" i="2"/>
  <c r="K8" i="2"/>
  <c r="K9" i="2"/>
  <c r="K10" i="2"/>
  <c r="K11" i="2"/>
  <c r="K12" i="2"/>
  <c r="K13" i="2"/>
  <c r="K6" i="2"/>
  <c r="W7" i="2"/>
  <c r="W8" i="2"/>
  <c r="AA8" i="2" s="1"/>
  <c r="W9" i="2"/>
  <c r="AA9" i="2" s="1"/>
  <c r="W10" i="2"/>
  <c r="AA10" i="2" s="1"/>
  <c r="W11" i="2"/>
  <c r="AA11" i="2" s="1"/>
  <c r="W12" i="2"/>
  <c r="AA12" i="2" s="1"/>
  <c r="W6" i="2"/>
  <c r="AA6" i="2" s="1"/>
  <c r="W61" i="3"/>
  <c r="W62" i="3" s="1"/>
  <c r="W54" i="3"/>
  <c r="W55" i="3" s="1"/>
  <c r="X10" i="3"/>
  <c r="X11" i="3"/>
  <c r="AA11" i="3" s="1"/>
  <c r="X12" i="3"/>
  <c r="X13" i="3"/>
  <c r="X14" i="3"/>
  <c r="X15" i="3"/>
  <c r="X9" i="3"/>
  <c r="AA9" i="3" s="1"/>
  <c r="L10" i="3"/>
  <c r="L11" i="3"/>
  <c r="L12" i="3"/>
  <c r="L13" i="3"/>
  <c r="L14" i="3"/>
  <c r="L15" i="3"/>
  <c r="L16" i="3"/>
  <c r="L9" i="3"/>
  <c r="AA10" i="3" l="1"/>
  <c r="AA14" i="3"/>
  <c r="AA15" i="3"/>
  <c r="Y8" i="1"/>
  <c r="AA13" i="3"/>
  <c r="AA12" i="3"/>
  <c r="AA7" i="2"/>
  <c r="Y13" i="1"/>
  <c r="BN11" i="4"/>
  <c r="BH11" i="4"/>
  <c r="BG11" i="4"/>
  <c r="BK11" i="4" s="1"/>
  <c r="BN10" i="4"/>
  <c r="BH10" i="4"/>
  <c r="BL10" i="4" s="1"/>
  <c r="BG10" i="4"/>
  <c r="BK10" i="4" s="1"/>
  <c r="BN9" i="4"/>
  <c r="BH9" i="4"/>
  <c r="BG9" i="4"/>
  <c r="BK9" i="4" s="1"/>
  <c r="BB9" i="4"/>
  <c r="BC9" i="4" s="1"/>
  <c r="BR9" i="4" s="1"/>
  <c r="BN8" i="4"/>
  <c r="BH8" i="4"/>
  <c r="BG8" i="4"/>
  <c r="BK8" i="4" s="1"/>
  <c r="BN7" i="4"/>
  <c r="BH7" i="4"/>
  <c r="BG7" i="4"/>
  <c r="BK7" i="4" s="1"/>
  <c r="AU42" i="4"/>
  <c r="AT43" i="4" s="1"/>
  <c r="AT44" i="4" s="1"/>
  <c r="AT45" i="4" s="1"/>
  <c r="AO15" i="4"/>
  <c r="AN15" i="4"/>
  <c r="AX14" i="4"/>
  <c r="AX13" i="4"/>
  <c r="AX12" i="4"/>
  <c r="AS12" i="4"/>
  <c r="AV12" i="4" s="1"/>
  <c r="AR12" i="4"/>
  <c r="AU12" i="4" s="1"/>
  <c r="AX11" i="4"/>
  <c r="AS11" i="4"/>
  <c r="AV11" i="4" s="1"/>
  <c r="AR11" i="4"/>
  <c r="AU11" i="4" s="1"/>
  <c r="AX10" i="4"/>
  <c r="AU10" i="4"/>
  <c r="AS10" i="4"/>
  <c r="AV10" i="4" s="1"/>
  <c r="AR10" i="4"/>
  <c r="AX9" i="4"/>
  <c r="AS9" i="4"/>
  <c r="AV9" i="4" s="1"/>
  <c r="AR9" i="4"/>
  <c r="AU9" i="4" s="1"/>
  <c r="AN9" i="4"/>
  <c r="AN10" i="4" s="1"/>
  <c r="AN11" i="4" s="1"/>
  <c r="AN12" i="4" s="1"/>
  <c r="AX8" i="4"/>
  <c r="AS8" i="4"/>
  <c r="AV8" i="4" s="1"/>
  <c r="AR8" i="4"/>
  <c r="AU8" i="4" s="1"/>
  <c r="AX7" i="4"/>
  <c r="AS7" i="4"/>
  <c r="AT7" i="4" s="1"/>
  <c r="AW7" i="4" s="1"/>
  <c r="AR7" i="4"/>
  <c r="AU7" i="4" s="1"/>
  <c r="BL7" i="4" l="1"/>
  <c r="BI7" i="4"/>
  <c r="AV7" i="4"/>
  <c r="BI9" i="4"/>
  <c r="BL9" i="4"/>
  <c r="BL11" i="4"/>
  <c r="BI11" i="4"/>
  <c r="AT10" i="4"/>
  <c r="AW10" i="4" s="1"/>
  <c r="BB10" i="4"/>
  <c r="BM11" i="4"/>
  <c r="BP11" i="4" s="1"/>
  <c r="BI8" i="4"/>
  <c r="BI10" i="4"/>
  <c r="BL8" i="4"/>
  <c r="BM7" i="4"/>
  <c r="BP7" i="4" s="1"/>
  <c r="AT12" i="4"/>
  <c r="AW12" i="4" s="1"/>
  <c r="AT8" i="4"/>
  <c r="AW8" i="4" s="1"/>
  <c r="AT11" i="4"/>
  <c r="AW11" i="4" s="1"/>
  <c r="AT9" i="4"/>
  <c r="AW9" i="4" s="1"/>
  <c r="Y36" i="4"/>
  <c r="Y33" i="1"/>
  <c r="Y34" i="1" s="1"/>
  <c r="Y35" i="4"/>
  <c r="BM9" i="4" l="1"/>
  <c r="BP9" i="4" s="1"/>
  <c r="BJ9" i="4"/>
  <c r="BS9" i="4"/>
  <c r="BT9" i="4" s="1"/>
  <c r="BM8" i="4"/>
  <c r="BP8" i="4" s="1"/>
  <c r="BJ8" i="4"/>
  <c r="BS8" i="4"/>
  <c r="BT8" i="4" s="1"/>
  <c r="BM10" i="4"/>
  <c r="BP10" i="4" s="1"/>
  <c r="BJ10" i="4"/>
  <c r="BS10" i="4"/>
  <c r="BT10" i="4" s="1"/>
  <c r="BJ7" i="4"/>
  <c r="BS7" i="4"/>
  <c r="BT7" i="4" s="1"/>
  <c r="BJ11" i="4"/>
  <c r="BS11" i="4"/>
  <c r="BT11" i="4" s="1"/>
  <c r="BC10" i="4"/>
  <c r="BR10" i="4" s="1"/>
  <c r="BB11" i="4"/>
  <c r="BC11" i="4" s="1"/>
  <c r="BR11" i="4" s="1"/>
  <c r="M33" i="6"/>
  <c r="L36" i="6" s="1"/>
  <c r="E33" i="6"/>
  <c r="B17" i="6" l="1"/>
  <c r="B5" i="6"/>
  <c r="G6" i="6"/>
  <c r="G7" i="6"/>
  <c r="G8" i="6"/>
  <c r="G9" i="6"/>
  <c r="G10" i="6"/>
  <c r="G11" i="6"/>
  <c r="G12" i="6"/>
  <c r="G13" i="6"/>
  <c r="G5" i="6"/>
  <c r="H6" i="6"/>
  <c r="H7" i="6"/>
  <c r="H8" i="6"/>
  <c r="H9" i="6"/>
  <c r="H10" i="6"/>
  <c r="H11" i="6"/>
  <c r="H12" i="6"/>
  <c r="H13" i="6"/>
  <c r="H5" i="6"/>
  <c r="H35" i="6"/>
  <c r="E35" i="6"/>
  <c r="H33" i="6"/>
  <c r="J13" i="6"/>
  <c r="I13" i="6"/>
  <c r="J12" i="6"/>
  <c r="I12" i="6"/>
  <c r="J11" i="6"/>
  <c r="I11" i="6"/>
  <c r="J10" i="6"/>
  <c r="I10" i="6"/>
  <c r="J9" i="6"/>
  <c r="I9" i="6"/>
  <c r="J8" i="6"/>
  <c r="I8" i="6"/>
  <c r="N7" i="6"/>
  <c r="M7" i="6"/>
  <c r="L7" i="6"/>
  <c r="M8" i="6" s="1"/>
  <c r="J7" i="6"/>
  <c r="I7" i="6"/>
  <c r="J6" i="6"/>
  <c r="I6" i="6"/>
  <c r="C6" i="6"/>
  <c r="D6" i="6" s="1"/>
  <c r="Q5" i="6"/>
  <c r="Q6" i="6" s="1"/>
  <c r="Q7" i="6" s="1"/>
  <c r="Q8" i="6" s="1"/>
  <c r="J5" i="6"/>
  <c r="I5" i="6"/>
  <c r="D5" i="6"/>
  <c r="B6" i="6" l="1"/>
  <c r="C7" i="6"/>
  <c r="B7" i="6" s="1"/>
  <c r="D7" i="6" l="1"/>
  <c r="C8" i="6"/>
  <c r="B8" i="6" s="1"/>
  <c r="C9" i="6" l="1"/>
  <c r="B9" i="6" s="1"/>
  <c r="D8" i="6"/>
  <c r="D9" i="6" l="1"/>
  <c r="C10" i="6"/>
  <c r="B10" i="6" s="1"/>
  <c r="C11" i="6" l="1"/>
  <c r="B11" i="6" s="1"/>
  <c r="D10" i="6"/>
  <c r="C12" i="6" l="1"/>
  <c r="B12" i="6" s="1"/>
  <c r="D11" i="6"/>
  <c r="C13" i="6" l="1"/>
  <c r="D12" i="6"/>
  <c r="D13" i="6" l="1"/>
  <c r="B13" i="6"/>
  <c r="S40" i="5"/>
  <c r="S39" i="5"/>
  <c r="Q39" i="5"/>
  <c r="Q40" i="5" s="1"/>
  <c r="T40" i="5" s="1"/>
  <c r="U40" i="5" s="1"/>
  <c r="T39" i="5" l="1"/>
  <c r="U39" i="5" s="1"/>
  <c r="N9" i="4"/>
  <c r="O9" i="4" s="1"/>
  <c r="T14" i="4"/>
  <c r="X14" i="4" s="1"/>
  <c r="T13" i="4"/>
  <c r="X13" i="4" s="1"/>
  <c r="T12" i="4"/>
  <c r="X12" i="4" s="1"/>
  <c r="T11" i="4"/>
  <c r="X11" i="4" s="1"/>
  <c r="T10" i="4"/>
  <c r="X10" i="4" s="1"/>
  <c r="T9" i="4"/>
  <c r="X9" i="4" s="1"/>
  <c r="T8" i="4"/>
  <c r="X8" i="4" s="1"/>
  <c r="T7" i="4"/>
  <c r="X7" i="4" s="1"/>
  <c r="S7" i="4"/>
  <c r="W7" i="4" s="1"/>
  <c r="U7" i="4"/>
  <c r="S8" i="4"/>
  <c r="W8" i="4" s="1"/>
  <c r="S9" i="4"/>
  <c r="W9" i="4" s="1"/>
  <c r="S10" i="4"/>
  <c r="W10" i="4" s="1"/>
  <c r="S11" i="4"/>
  <c r="W11" i="4" s="1"/>
  <c r="S12" i="4"/>
  <c r="W12" i="4" s="1"/>
  <c r="S13" i="4"/>
  <c r="W13" i="4" s="1"/>
  <c r="S14" i="4"/>
  <c r="W14" i="4" s="1"/>
  <c r="J14" i="4"/>
  <c r="H14" i="4"/>
  <c r="J13" i="4"/>
  <c r="H13" i="4"/>
  <c r="J12" i="4"/>
  <c r="H12" i="4"/>
  <c r="J11" i="4"/>
  <c r="H11" i="4"/>
  <c r="J10" i="4"/>
  <c r="H10" i="4"/>
  <c r="J9" i="4"/>
  <c r="H9" i="4"/>
  <c r="J8" i="4"/>
  <c r="H8" i="4"/>
  <c r="C8" i="4"/>
  <c r="B8" i="4" s="1"/>
  <c r="J7" i="4"/>
  <c r="H7" i="4"/>
  <c r="I7" i="4" s="1"/>
  <c r="Q2" i="4"/>
  <c r="I10" i="4" l="1"/>
  <c r="BP13" i="4"/>
  <c r="BP12" i="4"/>
  <c r="I14" i="4"/>
  <c r="I11" i="4"/>
  <c r="I8" i="4"/>
  <c r="I9" i="4"/>
  <c r="I12" i="4"/>
  <c r="M9" i="4"/>
  <c r="N10" i="4"/>
  <c r="U13" i="4"/>
  <c r="I13" i="4"/>
  <c r="U9" i="4"/>
  <c r="U11" i="4"/>
  <c r="U10" i="4"/>
  <c r="U14" i="4"/>
  <c r="U8" i="4"/>
  <c r="V8" i="4" s="1"/>
  <c r="U12" i="4"/>
  <c r="C9" i="4"/>
  <c r="D8" i="4"/>
  <c r="J14" i="1"/>
  <c r="H14" i="1"/>
  <c r="K14" i="1" s="1"/>
  <c r="M10" i="4" l="1"/>
  <c r="O10" i="4"/>
  <c r="N11" i="4"/>
  <c r="V10" i="4"/>
  <c r="V12" i="4"/>
  <c r="V11" i="4"/>
  <c r="V9" i="4"/>
  <c r="V14" i="4"/>
  <c r="V13" i="4"/>
  <c r="B9" i="4"/>
  <c r="D9" i="4"/>
  <c r="C10" i="4"/>
  <c r="X12" i="2"/>
  <c r="U12" i="2"/>
  <c r="AD12" i="2" s="1"/>
  <c r="Y15" i="3"/>
  <c r="V15" i="3"/>
  <c r="AD15" i="3" s="1"/>
  <c r="J13" i="1"/>
  <c r="H13" i="1"/>
  <c r="K13" i="1" s="1"/>
  <c r="M11" i="4" l="1"/>
  <c r="N12" i="4"/>
  <c r="O11" i="4"/>
  <c r="B10" i="4"/>
  <c r="D10" i="4"/>
  <c r="C11" i="4"/>
  <c r="H8" i="1"/>
  <c r="K8" i="1" s="1"/>
  <c r="H9" i="1"/>
  <c r="H10" i="1"/>
  <c r="H11" i="1"/>
  <c r="H12" i="1"/>
  <c r="K12" i="1" s="1"/>
  <c r="P9" i="3"/>
  <c r="Y14" i="3"/>
  <c r="V14" i="3"/>
  <c r="AD14" i="3" s="1"/>
  <c r="Y13" i="3"/>
  <c r="V13" i="3"/>
  <c r="Y12" i="3"/>
  <c r="V12" i="3"/>
  <c r="Y11" i="3"/>
  <c r="V11" i="3"/>
  <c r="AD11" i="3" s="1"/>
  <c r="Q11" i="3"/>
  <c r="Q12" i="3" s="1"/>
  <c r="P11" i="3"/>
  <c r="AC11" i="3" s="1"/>
  <c r="Y10" i="3"/>
  <c r="V10" i="3"/>
  <c r="AD10" i="3" s="1"/>
  <c r="Q10" i="3"/>
  <c r="R10" i="3" s="1"/>
  <c r="Y9" i="3"/>
  <c r="V9" i="3"/>
  <c r="R9" i="3"/>
  <c r="M16" i="3"/>
  <c r="J16" i="3"/>
  <c r="M15" i="3"/>
  <c r="J15" i="3"/>
  <c r="N15" i="3" s="1"/>
  <c r="M14" i="3"/>
  <c r="J14" i="3"/>
  <c r="N14" i="3" s="1"/>
  <c r="M13" i="3"/>
  <c r="J13" i="3"/>
  <c r="N13" i="3" s="1"/>
  <c r="M12" i="3"/>
  <c r="J12" i="3"/>
  <c r="M11" i="3"/>
  <c r="J11" i="3"/>
  <c r="N11" i="3" s="1"/>
  <c r="E11" i="3"/>
  <c r="E12" i="3" s="1"/>
  <c r="D11" i="3"/>
  <c r="M10" i="3"/>
  <c r="J10" i="3"/>
  <c r="M9" i="3"/>
  <c r="J9" i="3"/>
  <c r="N9" i="3" s="1"/>
  <c r="D9" i="3"/>
  <c r="O7" i="2"/>
  <c r="AC7" i="2" s="1"/>
  <c r="X11" i="2"/>
  <c r="U11" i="2"/>
  <c r="AD11" i="2" s="1"/>
  <c r="X10" i="2"/>
  <c r="U10" i="2"/>
  <c r="AD10" i="2" s="1"/>
  <c r="X9" i="2"/>
  <c r="U9" i="2"/>
  <c r="AD9" i="2" s="1"/>
  <c r="X8" i="2"/>
  <c r="U8" i="2"/>
  <c r="AD8" i="2" s="1"/>
  <c r="P8" i="2"/>
  <c r="P9" i="2" s="1"/>
  <c r="X7" i="2"/>
  <c r="U7" i="2"/>
  <c r="AD7" i="2" s="1"/>
  <c r="Q7" i="2"/>
  <c r="X6" i="2"/>
  <c r="U6" i="2"/>
  <c r="Q6" i="2"/>
  <c r="O6" i="2"/>
  <c r="AC6" i="2" s="1"/>
  <c r="L13" i="2"/>
  <c r="I13" i="2"/>
  <c r="L12" i="2"/>
  <c r="I12" i="2"/>
  <c r="M12" i="2" s="1"/>
  <c r="L11" i="2"/>
  <c r="I11" i="2"/>
  <c r="L10" i="2"/>
  <c r="I10" i="2"/>
  <c r="L9" i="2"/>
  <c r="I9" i="2"/>
  <c r="L8" i="2"/>
  <c r="I8" i="2"/>
  <c r="D8" i="2"/>
  <c r="D9" i="2" s="1"/>
  <c r="C9" i="2" s="1"/>
  <c r="L7" i="2"/>
  <c r="I7" i="2"/>
  <c r="L6" i="2"/>
  <c r="I6" i="2"/>
  <c r="C6" i="2"/>
  <c r="J12" i="1"/>
  <c r="J11" i="1"/>
  <c r="J10" i="1"/>
  <c r="J9" i="1"/>
  <c r="J8" i="1"/>
  <c r="C8" i="1"/>
  <c r="D8" i="1" s="1"/>
  <c r="B8" i="1"/>
  <c r="J7" i="1"/>
  <c r="H7" i="1"/>
  <c r="V13" i="1"/>
  <c r="S13" i="1"/>
  <c r="AB13" i="1" s="1"/>
  <c r="V12" i="1"/>
  <c r="S12" i="1"/>
  <c r="V11" i="1"/>
  <c r="S11" i="1"/>
  <c r="V10" i="1"/>
  <c r="S10" i="1"/>
  <c r="V9" i="1"/>
  <c r="S9" i="1"/>
  <c r="V8" i="1"/>
  <c r="S8" i="1"/>
  <c r="N8" i="1"/>
  <c r="N9" i="1" s="1"/>
  <c r="V7" i="1"/>
  <c r="S7" i="1"/>
  <c r="Q2" i="1"/>
  <c r="T9" i="1" l="1"/>
  <c r="Z9" i="1" s="1"/>
  <c r="AB9" i="1"/>
  <c r="T12" i="1"/>
  <c r="Z12" i="1" s="1"/>
  <c r="AB12" i="1"/>
  <c r="W13" i="3"/>
  <c r="AD13" i="3"/>
  <c r="I11" i="1"/>
  <c r="K11" i="1"/>
  <c r="J10" i="2"/>
  <c r="M10" i="2"/>
  <c r="W12" i="3"/>
  <c r="AD12" i="3"/>
  <c r="T7" i="1"/>
  <c r="Z7" i="1" s="1"/>
  <c r="AB7" i="1"/>
  <c r="T10" i="1"/>
  <c r="Z10" i="1" s="1"/>
  <c r="AB10" i="1"/>
  <c r="J6" i="2"/>
  <c r="M6" i="2"/>
  <c r="W9" i="3"/>
  <c r="AD9" i="3"/>
  <c r="I10" i="1"/>
  <c r="K10" i="1"/>
  <c r="K16" i="3"/>
  <c r="N16" i="3"/>
  <c r="J11" i="2"/>
  <c r="M11" i="2"/>
  <c r="J9" i="2"/>
  <c r="M9" i="2"/>
  <c r="V6" i="2"/>
  <c r="AD6" i="2"/>
  <c r="K10" i="3"/>
  <c r="N10" i="3"/>
  <c r="K12" i="3"/>
  <c r="N12" i="3"/>
  <c r="I9" i="1"/>
  <c r="K9" i="1"/>
  <c r="J13" i="2"/>
  <c r="M13" i="2"/>
  <c r="J8" i="2"/>
  <c r="M8" i="2"/>
  <c r="T8" i="1"/>
  <c r="Z8" i="1" s="1"/>
  <c r="AB8" i="1"/>
  <c r="T11" i="1"/>
  <c r="Z11" i="1" s="1"/>
  <c r="AB11" i="1"/>
  <c r="I14" i="1"/>
  <c r="K7" i="1"/>
  <c r="J7" i="2"/>
  <c r="M7" i="2"/>
  <c r="W15" i="3"/>
  <c r="P10" i="3"/>
  <c r="AC10" i="3" s="1"/>
  <c r="W14" i="3"/>
  <c r="K9" i="3"/>
  <c r="K14" i="3"/>
  <c r="T13" i="1"/>
  <c r="Z13" i="1" s="1"/>
  <c r="I7" i="1"/>
  <c r="O12" i="4"/>
  <c r="N13" i="4"/>
  <c r="M12" i="4"/>
  <c r="B11" i="4"/>
  <c r="D11" i="4"/>
  <c r="C12" i="4"/>
  <c r="V11" i="2"/>
  <c r="V12" i="2"/>
  <c r="C9" i="1"/>
  <c r="C10" i="1" s="1"/>
  <c r="D10" i="1" s="1"/>
  <c r="W10" i="3"/>
  <c r="W11" i="3"/>
  <c r="I12" i="1"/>
  <c r="I8" i="1"/>
  <c r="V9" i="2"/>
  <c r="J12" i="2"/>
  <c r="K11" i="3"/>
  <c r="K13" i="3"/>
  <c r="K15" i="3"/>
  <c r="I13" i="1"/>
  <c r="Q8" i="2"/>
  <c r="V7" i="2"/>
  <c r="V8" i="2"/>
  <c r="V10" i="2"/>
  <c r="O8" i="2"/>
  <c r="AC8" i="2" s="1"/>
  <c r="C8" i="2"/>
  <c r="P12" i="3"/>
  <c r="AC12" i="3" s="1"/>
  <c r="Q13" i="3"/>
  <c r="R12" i="3"/>
  <c r="R11" i="3"/>
  <c r="D12" i="3"/>
  <c r="E13" i="3"/>
  <c r="F12" i="3"/>
  <c r="F11" i="3"/>
  <c r="P10" i="2"/>
  <c r="Q9" i="2"/>
  <c r="O9" i="2"/>
  <c r="AC9" i="2" s="1"/>
  <c r="D10" i="2"/>
  <c r="O8" i="1"/>
  <c r="B9" i="1"/>
  <c r="C11" i="1"/>
  <c r="N10" i="1"/>
  <c r="M9" i="1"/>
  <c r="AA9" i="1" s="1"/>
  <c r="O9" i="1"/>
  <c r="M8" i="1"/>
  <c r="AA8" i="1" s="1"/>
  <c r="D9" i="1" l="1"/>
  <c r="B10" i="1"/>
  <c r="N14" i="4"/>
  <c r="M13" i="4"/>
  <c r="O13" i="4"/>
  <c r="B12" i="4"/>
  <c r="D12" i="4"/>
  <c r="C13" i="4"/>
  <c r="Q14" i="3"/>
  <c r="R13" i="3"/>
  <c r="P13" i="3"/>
  <c r="AC13" i="3" s="1"/>
  <c r="E14" i="3"/>
  <c r="F13" i="3"/>
  <c r="D13" i="3"/>
  <c r="P11" i="2"/>
  <c r="Q10" i="2"/>
  <c r="O10" i="2"/>
  <c r="AC10" i="2" s="1"/>
  <c r="D11" i="2"/>
  <c r="C10" i="2"/>
  <c r="C12" i="1"/>
  <c r="C13" i="1" s="1"/>
  <c r="B11" i="1"/>
  <c r="D11" i="1"/>
  <c r="N11" i="1"/>
  <c r="O10" i="1"/>
  <c r="M10" i="1"/>
  <c r="AA10" i="1" s="1"/>
  <c r="M14" i="4" l="1"/>
  <c r="O14" i="4"/>
  <c r="B13" i="4"/>
  <c r="D13" i="4"/>
  <c r="C14" i="4"/>
  <c r="D13" i="1"/>
  <c r="C14" i="1"/>
  <c r="B13" i="1"/>
  <c r="P12" i="2"/>
  <c r="O11" i="2"/>
  <c r="AC11" i="2" s="1"/>
  <c r="Q15" i="3"/>
  <c r="P15" i="3" s="1"/>
  <c r="AC15" i="3" s="1"/>
  <c r="P14" i="3"/>
  <c r="AC14" i="3" s="1"/>
  <c r="R14" i="3"/>
  <c r="D14" i="3"/>
  <c r="E15" i="3"/>
  <c r="F14" i="3"/>
  <c r="Q11" i="2"/>
  <c r="D12" i="2"/>
  <c r="C11" i="2"/>
  <c r="D12" i="1"/>
  <c r="B12" i="1"/>
  <c r="M11" i="1"/>
  <c r="AA11" i="1" s="1"/>
  <c r="N12" i="1"/>
  <c r="O11" i="1"/>
  <c r="B14" i="4" l="1"/>
  <c r="D14" i="4"/>
  <c r="R15" i="3"/>
  <c r="Q12" i="2"/>
  <c r="O12" i="2"/>
  <c r="AC12" i="2" s="1"/>
  <c r="B14" i="1"/>
  <c r="D14" i="1"/>
  <c r="E16" i="3"/>
  <c r="F15" i="3"/>
  <c r="D15" i="3"/>
  <c r="D13" i="2"/>
  <c r="C13" i="2" s="1"/>
  <c r="C12" i="2"/>
  <c r="N13" i="1"/>
  <c r="O12" i="1"/>
  <c r="M12" i="1"/>
  <c r="AA12" i="1" s="1"/>
  <c r="D16" i="3" l="1"/>
  <c r="F16" i="3"/>
  <c r="M13" i="1"/>
  <c r="AA13" i="1" s="1"/>
  <c r="O13" i="1"/>
</calcChain>
</file>

<file path=xl/sharedStrings.xml><?xml version="1.0" encoding="utf-8"?>
<sst xmlns="http://schemas.openxmlformats.org/spreadsheetml/2006/main" count="368" uniqueCount="109">
  <si>
    <t>P1 half life =</t>
  </si>
  <si>
    <t>hours</t>
  </si>
  <si>
    <t>days</t>
  </si>
  <si>
    <t>P1</t>
  </si>
  <si>
    <t>Solid state</t>
  </si>
  <si>
    <t>10mg/.8ml</t>
  </si>
  <si>
    <t>tube:</t>
  </si>
  <si>
    <t>standard</t>
  </si>
  <si>
    <t>intensity:</t>
  </si>
  <si>
    <t>minutes</t>
  </si>
  <si>
    <t>Days</t>
  </si>
  <si>
    <t>total area</t>
  </si>
  <si>
    <t>trans</t>
  </si>
  <si>
    <t>cis</t>
  </si>
  <si>
    <t>% cis</t>
  </si>
  <si>
    <t>relative charge %</t>
  </si>
  <si>
    <t>sum</t>
  </si>
  <si>
    <t>conc</t>
  </si>
  <si>
    <t>6mg/0.8ml</t>
  </si>
  <si>
    <t>15mg/.8ml</t>
  </si>
  <si>
    <t>j young</t>
  </si>
  <si>
    <t>P4</t>
  </si>
  <si>
    <t>P3 half life =</t>
  </si>
  <si>
    <t>P3</t>
  </si>
  <si>
    <t>solid</t>
  </si>
  <si>
    <t>stardard</t>
  </si>
  <si>
    <t>trans 4 aromatic</t>
  </si>
  <si>
    <t>trans 3</t>
  </si>
  <si>
    <t>cis 9 aromatic</t>
  </si>
  <si>
    <t>relative charge</t>
  </si>
  <si>
    <t>area</t>
  </si>
  <si>
    <t>r</t>
  </si>
  <si>
    <t>pi</t>
  </si>
  <si>
    <t>d</t>
  </si>
  <si>
    <t>quartz</t>
  </si>
  <si>
    <t>glass</t>
  </si>
  <si>
    <t>loading</t>
  </si>
  <si>
    <t>ml/area</t>
  </si>
  <si>
    <t>minute</t>
  </si>
  <si>
    <t>respective Cis %</t>
  </si>
  <si>
    <t>lnCis</t>
  </si>
  <si>
    <t>k=</t>
  </si>
  <si>
    <t>T1/2=</t>
  </si>
  <si>
    <t>%cis</t>
  </si>
  <si>
    <t>t1/2</t>
  </si>
  <si>
    <t>k</t>
  </si>
  <si>
    <t>Ln (cis)</t>
  </si>
  <si>
    <t>log cis4</t>
  </si>
  <si>
    <t>log cis 3</t>
  </si>
  <si>
    <t>log cis av</t>
  </si>
  <si>
    <t>down</t>
  </si>
  <si>
    <t>up</t>
  </si>
  <si>
    <t>time</t>
  </si>
  <si>
    <t>seconds</t>
  </si>
  <si>
    <t>ln cis</t>
  </si>
  <si>
    <t>Ln cis</t>
  </si>
  <si>
    <t>ma</t>
  </si>
  <si>
    <t>ratio</t>
  </si>
  <si>
    <t>initial</t>
  </si>
  <si>
    <t>22 hours</t>
  </si>
  <si>
    <t>46 hours</t>
  </si>
  <si>
    <t>70 hours</t>
  </si>
  <si>
    <t>119 hours</t>
  </si>
  <si>
    <t>127 hours</t>
  </si>
  <si>
    <t>time (hours)</t>
  </si>
  <si>
    <t>ln(cist/cis0)</t>
  </si>
  <si>
    <t>TIME</t>
  </si>
  <si>
    <t>P2</t>
  </si>
  <si>
    <t>Time (hours)</t>
  </si>
  <si>
    <t>trans (4)</t>
  </si>
  <si>
    <t>trans (1H)</t>
  </si>
  <si>
    <t>cis (3H)</t>
  </si>
  <si>
    <t>cis (1H)</t>
  </si>
  <si>
    <t>total</t>
  </si>
  <si>
    <t>%cis (PSS=100%)</t>
  </si>
  <si>
    <t>Total area</t>
  </si>
  <si>
    <t>Ln Cis</t>
  </si>
  <si>
    <t>Ln cist/cis 0</t>
  </si>
  <si>
    <t>P5</t>
  </si>
  <si>
    <t>AP %cis (PSS=100%)</t>
  </si>
  <si>
    <t>P6</t>
  </si>
  <si>
    <t>p1</t>
  </si>
  <si>
    <t>p2</t>
  </si>
  <si>
    <t>p3</t>
  </si>
  <si>
    <t>p4</t>
  </si>
  <si>
    <t>p5</t>
  </si>
  <si>
    <t>p6</t>
  </si>
  <si>
    <t>half life in hours</t>
  </si>
  <si>
    <t>=</t>
  </si>
  <si>
    <t>y</t>
  </si>
  <si>
    <t>half life days</t>
  </si>
  <si>
    <t>polymer</t>
  </si>
  <si>
    <t>Ln %cis</t>
  </si>
  <si>
    <t>time hours</t>
  </si>
  <si>
    <t>t</t>
  </si>
  <si>
    <t>relative</t>
  </si>
  <si>
    <t>in cis relative</t>
  </si>
  <si>
    <t>error positive</t>
  </si>
  <si>
    <t>decimal</t>
  </si>
  <si>
    <t>ln(I(t)/I0)</t>
  </si>
  <si>
    <t>1a</t>
  </si>
  <si>
    <t>1b</t>
  </si>
  <si>
    <t>3a</t>
  </si>
  <si>
    <t>3b</t>
  </si>
  <si>
    <t>2a</t>
  </si>
  <si>
    <t>2b</t>
  </si>
  <si>
    <t>t1/2 days</t>
  </si>
  <si>
    <t>solution state</t>
  </si>
  <si>
    <t>solid-state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</si>
</sst>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000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right"/>
    </xf>
    <xf numFmtId="10" fontId="0" fillId="0" borderId="0" xfId="0" applyNumberFormat="1" applyAlignment="1">
      <alignment horizontal="left"/>
    </xf>
    <xf numFmtId="2" fontId="0" fillId="0" borderId="0" xfId="0" applyNumberFormat="1"/>
    <xf numFmtId="17" fontId="0" fillId="0" borderId="0" xfId="0" applyNumberFormat="1"/>
    <xf numFmtId="164" fontId="0" fillId="0" borderId="0" xfId="0" applyNumberFormat="1"/>
    <xf numFmtId="9" fontId="0" fillId="0" borderId="0" xfId="1" applyFont="1"/>
    <xf numFmtId="0" fontId="0" fillId="0" borderId="0" xfId="0" quotePrefix="1"/>
    <xf numFmtId="0" fontId="0" fillId="0" borderId="0" xfId="0" quotePrefix="1" applyAlignment="1">
      <alignment horizontal="right"/>
    </xf>
    <xf numFmtId="9" fontId="0" fillId="0" borderId="0" xfId="0" applyNumberFormat="1"/>
    <xf numFmtId="2" fontId="3" fillId="0" borderId="0" xfId="0" applyNumberFormat="1" applyFont="1"/>
    <xf numFmtId="0" fontId="2" fillId="0" borderId="0" xfId="0" applyFont="1"/>
    <xf numFmtId="0" fontId="0" fillId="2" borderId="0" xfId="0" applyFill="1"/>
    <xf numFmtId="164" fontId="0" fillId="2" borderId="0" xfId="0" applyNumberFormat="1" applyFill="1"/>
    <xf numFmtId="165" fontId="0" fillId="2" borderId="0" xfId="0" applyNumberFormat="1" applyFill="1"/>
    <xf numFmtId="166" fontId="0" fillId="2" borderId="0" xfId="0" applyNumberForma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1"/>
            <c:trendlineLbl>
              <c:layout>
                <c:manualLayout>
                  <c:x val="-1.9878733103297769E-2"/>
                  <c:y val="3.805735209208942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'M1'!$B$5:$B$13</c:f>
              <c:numCache>
                <c:formatCode>0.00</c:formatCode>
                <c:ptCount val="9"/>
                <c:pt idx="0">
                  <c:v>0</c:v>
                </c:pt>
                <c:pt idx="1">
                  <c:v>21.288333333333334</c:v>
                </c:pt>
                <c:pt idx="2">
                  <c:v>45.2425</c:v>
                </c:pt>
                <c:pt idx="3">
                  <c:v>69.24111116666667</c:v>
                </c:pt>
                <c:pt idx="4">
                  <c:v>91.206111166666659</c:v>
                </c:pt>
                <c:pt idx="5">
                  <c:v>118.60277783333332</c:v>
                </c:pt>
                <c:pt idx="6">
                  <c:v>118.69</c:v>
                </c:pt>
                <c:pt idx="7">
                  <c:v>141.24416666666667</c:v>
                </c:pt>
                <c:pt idx="8">
                  <c:v>165.24777783333332</c:v>
                </c:pt>
              </c:numCache>
            </c:numRef>
          </c:xVal>
          <c:yVal>
            <c:numRef>
              <c:f>'M1'!$H$5:$H$13</c:f>
              <c:numCache>
                <c:formatCode>0.00</c:formatCode>
                <c:ptCount val="9"/>
                <c:pt idx="0">
                  <c:v>100</c:v>
                </c:pt>
                <c:pt idx="1">
                  <c:v>87.284682348583075</c:v>
                </c:pt>
                <c:pt idx="2">
                  <c:v>75.871153585655719</c:v>
                </c:pt>
                <c:pt idx="3">
                  <c:v>66.839768558577745</c:v>
                </c:pt>
                <c:pt idx="4">
                  <c:v>58.760743421252705</c:v>
                </c:pt>
                <c:pt idx="5">
                  <c:v>50.275617651693381</c:v>
                </c:pt>
                <c:pt idx="6">
                  <c:v>50.156330774355673</c:v>
                </c:pt>
                <c:pt idx="7">
                  <c:v>44.08265212186889</c:v>
                </c:pt>
                <c:pt idx="8">
                  <c:v>38.939908717203025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1E1-4A55-B919-946E3D42FC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338944"/>
        <c:axId val="411015696"/>
      </c:scatterChart>
      <c:valAx>
        <c:axId val="359338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015696"/>
        <c:crosses val="autoZero"/>
        <c:crossBetween val="midCat"/>
      </c:valAx>
      <c:valAx>
        <c:axId val="4110156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338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Half life as solution</a:t>
            </a:r>
            <a:r>
              <a:rPr lang="en-US" baseline="0"/>
              <a:t> P2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'P2'!$M$8:$M$14</c:f>
              <c:numCache>
                <c:formatCode>General</c:formatCode>
                <c:ptCount val="7"/>
                <c:pt idx="0">
                  <c:v>0</c:v>
                </c:pt>
                <c:pt idx="1">
                  <c:v>23.75</c:v>
                </c:pt>
                <c:pt idx="2">
                  <c:v>48.4</c:v>
                </c:pt>
                <c:pt idx="3">
                  <c:v>68.683333333333337</c:v>
                </c:pt>
                <c:pt idx="4">
                  <c:v>96.933333333333337</c:v>
                </c:pt>
                <c:pt idx="5">
                  <c:v>117.73333333333333</c:v>
                </c:pt>
                <c:pt idx="6">
                  <c:v>146.88333333333333</c:v>
                </c:pt>
              </c:numCache>
            </c:numRef>
          </c:xVal>
          <c:yVal>
            <c:numRef>
              <c:f>'P2'!$V$8:$V$14</c:f>
              <c:numCache>
                <c:formatCode>General</c:formatCode>
                <c:ptCount val="7"/>
                <c:pt idx="0">
                  <c:v>100</c:v>
                </c:pt>
                <c:pt idx="1">
                  <c:v>69.752081063902409</c:v>
                </c:pt>
                <c:pt idx="2">
                  <c:v>51.48014584308379</c:v>
                </c:pt>
                <c:pt idx="3">
                  <c:v>42.503009444238941</c:v>
                </c:pt>
                <c:pt idx="4">
                  <c:v>32.34498551992364</c:v>
                </c:pt>
                <c:pt idx="5">
                  <c:v>22.451465686204383</c:v>
                </c:pt>
                <c:pt idx="6">
                  <c:v>18.784368466338165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8D7-2C4A-9C68-CE6B98CB9E94}"/>
            </c:ext>
          </c:extLst>
        </c:ser>
        <c:ser>
          <c:idx val="2"/>
          <c:order val="1"/>
          <c:tx>
            <c:v>50%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'P2'!$AB$7:$AB$8</c:f>
              <c:numCache>
                <c:formatCode>General</c:formatCode>
                <c:ptCount val="2"/>
                <c:pt idx="0">
                  <c:v>0</c:v>
                </c:pt>
                <c:pt idx="1">
                  <c:v>147</c:v>
                </c:pt>
              </c:numCache>
            </c:numRef>
          </c:xVal>
          <c:yVal>
            <c:numRef>
              <c:f>'P2'!$AC$7:$AC$8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8D7-2C4A-9C68-CE6B98CB9E94}"/>
            </c:ext>
          </c:extLst>
        </c:ser>
        <c:ser>
          <c:idx val="1"/>
          <c:order val="2"/>
          <c:tx>
            <c:v>25%</c:v>
          </c:tx>
          <c:spPr>
            <a:ln w="19050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'P2'!$AB$7:$AB$8</c:f>
              <c:numCache>
                <c:formatCode>General</c:formatCode>
                <c:ptCount val="2"/>
                <c:pt idx="0">
                  <c:v>0</c:v>
                </c:pt>
                <c:pt idx="1">
                  <c:v>147</c:v>
                </c:pt>
              </c:numCache>
            </c:numRef>
          </c:xVal>
          <c:yVal>
            <c:numRef>
              <c:f>'P2'!$AD$7:$AD$8</c:f>
              <c:numCache>
                <c:formatCode>General</c:formatCode>
                <c:ptCount val="2"/>
                <c:pt idx="0">
                  <c:v>25</c:v>
                </c:pt>
                <c:pt idx="1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8D7-2C4A-9C68-CE6B98CB9E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002576"/>
        <c:axId val="644103872"/>
      </c:scatterChart>
      <c:valAx>
        <c:axId val="644002576"/>
        <c:scaling>
          <c:orientation val="minMax"/>
          <c:max val="195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103872"/>
        <c:crosses val="autoZero"/>
        <c:crossBetween val="midCat"/>
      </c:valAx>
      <c:valAx>
        <c:axId val="644103872"/>
        <c:scaling>
          <c:orientation val="minMax"/>
          <c:max val="110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025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91296249590477774"/>
          <c:y val="0.66142098943038619"/>
          <c:w val="4.5594176982945329E-2"/>
          <c:h val="0.101889838749142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'P2'!$M$8:$M$14</c:f>
              <c:numCache>
                <c:formatCode>General</c:formatCode>
                <c:ptCount val="7"/>
                <c:pt idx="0">
                  <c:v>0</c:v>
                </c:pt>
                <c:pt idx="1">
                  <c:v>23.75</c:v>
                </c:pt>
                <c:pt idx="2">
                  <c:v>48.4</c:v>
                </c:pt>
                <c:pt idx="3">
                  <c:v>68.683333333333337</c:v>
                </c:pt>
                <c:pt idx="4">
                  <c:v>96.933333333333337</c:v>
                </c:pt>
                <c:pt idx="5">
                  <c:v>117.73333333333333</c:v>
                </c:pt>
                <c:pt idx="6">
                  <c:v>146.88333333333333</c:v>
                </c:pt>
              </c:numCache>
            </c:numRef>
          </c:xVal>
          <c:yVal>
            <c:numRef>
              <c:f>'P2'!$W$8:$W$14</c:f>
              <c:numCache>
                <c:formatCode>General</c:formatCode>
                <c:ptCount val="7"/>
                <c:pt idx="0">
                  <c:v>4.1456474398970649</c:v>
                </c:pt>
                <c:pt idx="1">
                  <c:v>3.7660979852448184</c:v>
                </c:pt>
                <c:pt idx="2">
                  <c:v>3.4447412684703624</c:v>
                </c:pt>
                <c:pt idx="3">
                  <c:v>3.2288548681804494</c:v>
                </c:pt>
                <c:pt idx="4">
                  <c:v>2.9282387239506078</c:v>
                </c:pt>
                <c:pt idx="5">
                  <c:v>2.4570750009912077</c:v>
                </c:pt>
                <c:pt idx="6">
                  <c:v>2.2731768794134597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76-429A-B0A8-62EE1BC0060E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5861291067975965E-2"/>
                  <c:y val="-0.1306880523347034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'P2'!$M$8:$M$14</c:f>
              <c:numCache>
                <c:formatCode>General</c:formatCode>
                <c:ptCount val="7"/>
                <c:pt idx="0">
                  <c:v>0</c:v>
                </c:pt>
                <c:pt idx="1">
                  <c:v>23.75</c:v>
                </c:pt>
                <c:pt idx="2">
                  <c:v>48.4</c:v>
                </c:pt>
                <c:pt idx="3">
                  <c:v>68.683333333333337</c:v>
                </c:pt>
                <c:pt idx="4">
                  <c:v>96.933333333333337</c:v>
                </c:pt>
                <c:pt idx="5">
                  <c:v>117.73333333333333</c:v>
                </c:pt>
                <c:pt idx="6">
                  <c:v>146.88333333333333</c:v>
                </c:pt>
              </c:numCache>
            </c:numRef>
          </c:xVal>
          <c:yVal>
            <c:numRef>
              <c:f>'P2'!$X$8:$X$14</c:f>
              <c:numCache>
                <c:formatCode>General</c:formatCode>
                <c:ptCount val="7"/>
                <c:pt idx="0">
                  <c:v>4.1025772471485773</c:v>
                </c:pt>
                <c:pt idx="1">
                  <c:v>3.7489933573005167</c:v>
                </c:pt>
                <c:pt idx="2">
                  <c:v>3.4511424342467176</c:v>
                </c:pt>
                <c:pt idx="3">
                  <c:v>3.2674297706640791</c:v>
                </c:pt>
                <c:pt idx="4">
                  <c:v>3.002975974489865</c:v>
                </c:pt>
                <c:pt idx="5">
                  <c:v>2.6685259752269355</c:v>
                </c:pt>
                <c:pt idx="6">
                  <c:v>2.4916919110821669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376-429A-B0A8-62EE1BC006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9897727"/>
        <c:axId val="925198671"/>
      </c:scatterChart>
      <c:valAx>
        <c:axId val="1179897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5198671"/>
        <c:crosses val="autoZero"/>
        <c:crossBetween val="midCat"/>
      </c:valAx>
      <c:valAx>
        <c:axId val="925198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98977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log cis 4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121697287839017"/>
                  <c:y val="-0.1144965733449985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'P2'!$AN$7:$AN$12</c:f>
              <c:numCache>
                <c:formatCode>General</c:formatCode>
                <c:ptCount val="6"/>
                <c:pt idx="0">
                  <c:v>0</c:v>
                </c:pt>
                <c:pt idx="1">
                  <c:v>53.56666666666667</c:v>
                </c:pt>
                <c:pt idx="2">
                  <c:v>118.96666666666667</c:v>
                </c:pt>
                <c:pt idx="3">
                  <c:v>178.91666666666669</c:v>
                </c:pt>
                <c:pt idx="4">
                  <c:v>244.36666666666667</c:v>
                </c:pt>
                <c:pt idx="5">
                  <c:v>298.2166666666667</c:v>
                </c:pt>
              </c:numCache>
            </c:numRef>
          </c:xVal>
          <c:yVal>
            <c:numRef>
              <c:f>'P2'!$AU$7:$AU$12</c:f>
              <c:numCache>
                <c:formatCode>General</c:formatCode>
                <c:ptCount val="6"/>
                <c:pt idx="0">
                  <c:v>4.2838882404889862</c:v>
                </c:pt>
                <c:pt idx="1">
                  <c:v>4.2827023779817956</c:v>
                </c:pt>
                <c:pt idx="2">
                  <c:v>4.2801146797780065</c:v>
                </c:pt>
                <c:pt idx="3">
                  <c:v>4.2872271681833078</c:v>
                </c:pt>
                <c:pt idx="4">
                  <c:v>4.2693533345550803</c:v>
                </c:pt>
                <c:pt idx="5">
                  <c:v>4.2639589882071833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9AF-49EB-8CAC-34B8B9B8EACA}"/>
            </c:ext>
          </c:extLst>
        </c:ser>
        <c:ser>
          <c:idx val="2"/>
          <c:order val="1"/>
          <c:tx>
            <c:v>log cis 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'P2'!$AN$7:$AN$12</c:f>
              <c:numCache>
                <c:formatCode>General</c:formatCode>
                <c:ptCount val="6"/>
                <c:pt idx="0">
                  <c:v>0</c:v>
                </c:pt>
                <c:pt idx="1">
                  <c:v>53.56666666666667</c:v>
                </c:pt>
                <c:pt idx="2">
                  <c:v>118.96666666666667</c:v>
                </c:pt>
                <c:pt idx="3">
                  <c:v>178.91666666666669</c:v>
                </c:pt>
                <c:pt idx="4">
                  <c:v>244.36666666666667</c:v>
                </c:pt>
                <c:pt idx="5">
                  <c:v>298.2166666666667</c:v>
                </c:pt>
              </c:numCache>
            </c:numRef>
          </c:xVal>
          <c:yVal>
            <c:numRef>
              <c:f>'P2'!$AV$7:$AV$12</c:f>
              <c:numCache>
                <c:formatCode>General</c:formatCode>
                <c:ptCount val="6"/>
                <c:pt idx="0">
                  <c:v>4.2827241210999709</c:v>
                </c:pt>
                <c:pt idx="1">
                  <c:v>4.2804021867708872</c:v>
                </c:pt>
                <c:pt idx="2">
                  <c:v>4.2769966199501601</c:v>
                </c:pt>
                <c:pt idx="3">
                  <c:v>4.2802817967902334</c:v>
                </c:pt>
                <c:pt idx="4">
                  <c:v>4.2675216578071469</c:v>
                </c:pt>
                <c:pt idx="5">
                  <c:v>4.2616680977596069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9AF-49EB-8CAC-34B8B9B8EACA}"/>
            </c:ext>
          </c:extLst>
        </c:ser>
        <c:ser>
          <c:idx val="0"/>
          <c:order val="2"/>
          <c:tx>
            <c:v>log av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'P2'!$AN$7:$AN$12</c:f>
              <c:numCache>
                <c:formatCode>General</c:formatCode>
                <c:ptCount val="6"/>
                <c:pt idx="0">
                  <c:v>0</c:v>
                </c:pt>
                <c:pt idx="1">
                  <c:v>53.56666666666667</c:v>
                </c:pt>
                <c:pt idx="2">
                  <c:v>118.96666666666667</c:v>
                </c:pt>
                <c:pt idx="3">
                  <c:v>178.91666666666669</c:v>
                </c:pt>
                <c:pt idx="4">
                  <c:v>244.36666666666667</c:v>
                </c:pt>
                <c:pt idx="5">
                  <c:v>298.2166666666667</c:v>
                </c:pt>
              </c:numCache>
            </c:numRef>
          </c:xVal>
          <c:yVal>
            <c:numRef>
              <c:f>'P2'!$AW$7:$AW$12</c:f>
              <c:numCache>
                <c:formatCode>General</c:formatCode>
                <c:ptCount val="6"/>
                <c:pt idx="0">
                  <c:v>4.2833063501912125</c:v>
                </c:pt>
                <c:pt idx="1">
                  <c:v>4.2815529437361466</c:v>
                </c:pt>
                <c:pt idx="2">
                  <c:v>4.2785568651507271</c:v>
                </c:pt>
                <c:pt idx="3">
                  <c:v>4.2837605122476248</c:v>
                </c:pt>
                <c:pt idx="4">
                  <c:v>4.2684379155610186</c:v>
                </c:pt>
                <c:pt idx="5">
                  <c:v>4.2628141990056321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9AF-49EB-8CAC-34B8B9B8EA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7372351"/>
        <c:axId val="1702174703"/>
      </c:scatterChart>
      <c:valAx>
        <c:axId val="16873723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2174703"/>
        <c:crosses val="autoZero"/>
        <c:crossBetween val="midCat"/>
      </c:valAx>
      <c:valAx>
        <c:axId val="1702174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73723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121697287839017"/>
                  <c:y val="-0.1144965733449985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'P2'!$AN$7:$AN$12</c:f>
              <c:numCache>
                <c:formatCode>General</c:formatCode>
                <c:ptCount val="6"/>
                <c:pt idx="0">
                  <c:v>0</c:v>
                </c:pt>
                <c:pt idx="1">
                  <c:v>53.56666666666667</c:v>
                </c:pt>
                <c:pt idx="2">
                  <c:v>118.96666666666667</c:v>
                </c:pt>
                <c:pt idx="3">
                  <c:v>178.91666666666669</c:v>
                </c:pt>
                <c:pt idx="4">
                  <c:v>244.36666666666667</c:v>
                </c:pt>
                <c:pt idx="5">
                  <c:v>298.2166666666667</c:v>
                </c:pt>
              </c:numCache>
            </c:numRef>
          </c:xVal>
          <c:yVal>
            <c:numRef>
              <c:f>'P2'!$AR$7:$AR$12</c:f>
              <c:numCache>
                <c:formatCode>General</c:formatCode>
                <c:ptCount val="6"/>
                <c:pt idx="0">
                  <c:v>72.521874999999994</c:v>
                </c:pt>
                <c:pt idx="1">
                  <c:v>72.435924999999997</c:v>
                </c:pt>
                <c:pt idx="2">
                  <c:v>72.248725000000007</c:v>
                </c:pt>
                <c:pt idx="3">
                  <c:v>72.764425000000003</c:v>
                </c:pt>
                <c:pt idx="4">
                  <c:v>71.475400000000008</c:v>
                </c:pt>
                <c:pt idx="5">
                  <c:v>71.090874999999997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50C-4B18-B092-5CC3667C464B}"/>
            </c:ext>
          </c:extLst>
        </c:ser>
        <c:ser>
          <c:idx val="2"/>
          <c:order val="1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'P2'!$AN$7:$AN$12</c:f>
              <c:numCache>
                <c:formatCode>General</c:formatCode>
                <c:ptCount val="6"/>
                <c:pt idx="0">
                  <c:v>0</c:v>
                </c:pt>
                <c:pt idx="1">
                  <c:v>53.56666666666667</c:v>
                </c:pt>
                <c:pt idx="2">
                  <c:v>118.96666666666667</c:v>
                </c:pt>
                <c:pt idx="3">
                  <c:v>178.91666666666669</c:v>
                </c:pt>
                <c:pt idx="4">
                  <c:v>244.36666666666667</c:v>
                </c:pt>
                <c:pt idx="5">
                  <c:v>298.2166666666667</c:v>
                </c:pt>
              </c:numCache>
            </c:numRef>
          </c:xVal>
          <c:yVal>
            <c:numRef>
              <c:f>'P2'!$AS$7:$AS$12</c:f>
              <c:numCache>
                <c:formatCode>General</c:formatCode>
                <c:ptCount val="6"/>
                <c:pt idx="0">
                  <c:v>72.4375</c:v>
                </c:pt>
                <c:pt idx="1">
                  <c:v>72.269499999999994</c:v>
                </c:pt>
                <c:pt idx="2">
                  <c:v>72.023799999999994</c:v>
                </c:pt>
                <c:pt idx="3">
                  <c:v>72.260800000000003</c:v>
                </c:pt>
                <c:pt idx="4">
                  <c:v>71.3446</c:v>
                </c:pt>
                <c:pt idx="5">
                  <c:v>70.928200000000004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50C-4B18-B092-5CC3667C464B}"/>
            </c:ext>
          </c:extLst>
        </c:ser>
        <c:ser>
          <c:idx val="0"/>
          <c:order val="2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'P2'!$AN$7:$AN$12</c:f>
              <c:numCache>
                <c:formatCode>General</c:formatCode>
                <c:ptCount val="6"/>
                <c:pt idx="0">
                  <c:v>0</c:v>
                </c:pt>
                <c:pt idx="1">
                  <c:v>53.56666666666667</c:v>
                </c:pt>
                <c:pt idx="2">
                  <c:v>118.96666666666667</c:v>
                </c:pt>
                <c:pt idx="3">
                  <c:v>178.91666666666669</c:v>
                </c:pt>
                <c:pt idx="4">
                  <c:v>244.36666666666667</c:v>
                </c:pt>
                <c:pt idx="5">
                  <c:v>298.2166666666667</c:v>
                </c:pt>
              </c:numCache>
            </c:numRef>
          </c:xVal>
          <c:yVal>
            <c:numRef>
              <c:f>'P2'!$AT$7:$AT$12</c:f>
              <c:numCache>
                <c:formatCode>General</c:formatCode>
                <c:ptCount val="6"/>
                <c:pt idx="0">
                  <c:v>72.479687499999997</c:v>
                </c:pt>
                <c:pt idx="1">
                  <c:v>72.352712499999996</c:v>
                </c:pt>
                <c:pt idx="2">
                  <c:v>72.136262500000001</c:v>
                </c:pt>
                <c:pt idx="3">
                  <c:v>72.512612500000003</c:v>
                </c:pt>
                <c:pt idx="4">
                  <c:v>71.41</c:v>
                </c:pt>
                <c:pt idx="5">
                  <c:v>71.009537499999993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50C-4B18-B092-5CC3667C46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7372351"/>
        <c:axId val="1702174703"/>
      </c:scatterChart>
      <c:valAx>
        <c:axId val="16873723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2174703"/>
        <c:crosses val="autoZero"/>
        <c:crossBetween val="midCat"/>
      </c:valAx>
      <c:valAx>
        <c:axId val="1702174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73723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2"/>
          <c:tx>
            <c:v>av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077098186206743"/>
                  <c:y val="3.191578933574022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'P2'!$BC$7:$BC$11</c:f>
              <c:numCache>
                <c:formatCode>0.00</c:formatCode>
                <c:ptCount val="5"/>
                <c:pt idx="0">
                  <c:v>0</c:v>
                </c:pt>
                <c:pt idx="1">
                  <c:v>0.89277777777777778</c:v>
                </c:pt>
                <c:pt idx="2">
                  <c:v>1.9827777777777778</c:v>
                </c:pt>
                <c:pt idx="3">
                  <c:v>4.0727777777777776</c:v>
                </c:pt>
                <c:pt idx="4">
                  <c:v>4.9702777777777785</c:v>
                </c:pt>
              </c:numCache>
            </c:numRef>
          </c:xVal>
          <c:yVal>
            <c:numRef>
              <c:f>'P2'!$BM$7:$BM$11</c:f>
              <c:numCache>
                <c:formatCode>General</c:formatCode>
                <c:ptCount val="5"/>
                <c:pt idx="0">
                  <c:v>4.2833063501912125</c:v>
                </c:pt>
                <c:pt idx="1">
                  <c:v>4.2815529437361466</c:v>
                </c:pt>
                <c:pt idx="2">
                  <c:v>4.2785568651507271</c:v>
                </c:pt>
                <c:pt idx="3">
                  <c:v>4.2684379155610186</c:v>
                </c:pt>
                <c:pt idx="4">
                  <c:v>4.2628141990056321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5C3-4367-A7B9-3171CDF6A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7372351"/>
        <c:axId val="1702174703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0"/>
                <c:tx>
                  <c:v>cis4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-0.31121697287839017"/>
                        <c:y val="-0.11449657334499855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'P2'!$BC$7:$BC$11</c15:sqref>
                        </c15:formulaRef>
                      </c:ext>
                    </c:extLst>
                    <c:numCache>
                      <c:formatCode>0.00</c:formatCode>
                      <c:ptCount val="5"/>
                      <c:pt idx="0">
                        <c:v>0</c:v>
                      </c:pt>
                      <c:pt idx="1">
                        <c:v>0.89277777777777778</c:v>
                      </c:pt>
                      <c:pt idx="2">
                        <c:v>1.9827777777777778</c:v>
                      </c:pt>
                      <c:pt idx="3">
                        <c:v>4.0727777777777776</c:v>
                      </c:pt>
                      <c:pt idx="4">
                        <c:v>4.9702777777777785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'P2'!$BK$7:$BK$11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4.2838882404889862</c:v>
                      </c:pt>
                      <c:pt idx="1">
                        <c:v>4.2827023779817956</c:v>
                      </c:pt>
                      <c:pt idx="2">
                        <c:v>4.2801146797780065</c:v>
                      </c:pt>
                      <c:pt idx="3">
                        <c:v>4.2693533345550803</c:v>
                      </c:pt>
                      <c:pt idx="4">
                        <c:v>4.2639589882071833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D5C3-4367-A7B9-3171CDF6A2C2}"/>
                  </c:ext>
                </c:extLst>
              </c15:ser>
            </c15:filteredScatterSeries>
            <c15:filteredScatterSeries>
              <c15:ser>
                <c:idx val="2"/>
                <c:order val="1"/>
                <c:tx>
                  <c:v>cis 3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'P2'!$BC$7:$BC$11</c15:sqref>
                        </c15:formulaRef>
                      </c:ext>
                    </c:extLst>
                    <c:numCache>
                      <c:formatCode>0.00</c:formatCode>
                      <c:ptCount val="5"/>
                      <c:pt idx="0">
                        <c:v>0</c:v>
                      </c:pt>
                      <c:pt idx="1">
                        <c:v>0.89277777777777778</c:v>
                      </c:pt>
                      <c:pt idx="2">
                        <c:v>1.9827777777777778</c:v>
                      </c:pt>
                      <c:pt idx="3">
                        <c:v>4.0727777777777776</c:v>
                      </c:pt>
                      <c:pt idx="4">
                        <c:v>4.9702777777777785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'P2'!$BL$7:$BL$11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4.2827241210999709</c:v>
                      </c:pt>
                      <c:pt idx="1">
                        <c:v>4.2804021867708872</c:v>
                      </c:pt>
                      <c:pt idx="2">
                        <c:v>4.2769966199501601</c:v>
                      </c:pt>
                      <c:pt idx="3">
                        <c:v>4.2675216578071469</c:v>
                      </c:pt>
                      <c:pt idx="4">
                        <c:v>4.2616680977596069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D5C3-4367-A7B9-3171CDF6A2C2}"/>
                  </c:ext>
                </c:extLst>
              </c15:ser>
            </c15:filteredScatterSeries>
          </c:ext>
        </c:extLst>
      </c:scatterChart>
      <c:valAx>
        <c:axId val="16873723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2174703"/>
        <c:crosses val="autoZero"/>
        <c:crossBetween val="midCat"/>
      </c:valAx>
      <c:valAx>
        <c:axId val="1702174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73723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493443799735324"/>
                  <c:y val="6.4165380515545283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'P2'!$BT$7:$BT$11</c:f>
                <c:numCache>
                  <c:formatCode>General</c:formatCode>
                  <c:ptCount val="5"/>
                  <c:pt idx="0">
                    <c:v>-5.8189029777344636E-4</c:v>
                  </c:pt>
                  <c:pt idx="1">
                    <c:v>-1.1494342456492279E-3</c:v>
                  </c:pt>
                  <c:pt idx="2">
                    <c:v>-1.5578146272795523E-3</c:v>
                  </c:pt>
                  <c:pt idx="3">
                    <c:v>-9.1541899406166749E-4</c:v>
                  </c:pt>
                  <c:pt idx="4">
                    <c:v>-1.1447892015515326E-3</c:v>
                  </c:pt>
                </c:numCache>
              </c:numRef>
            </c:plus>
            <c:minus>
              <c:numRef>
                <c:f>'P2'!$BT$7:$BT$11</c:f>
                <c:numCache>
                  <c:formatCode>General</c:formatCode>
                  <c:ptCount val="5"/>
                  <c:pt idx="0">
                    <c:v>-5.8189029777344636E-4</c:v>
                  </c:pt>
                  <c:pt idx="1">
                    <c:v>-1.1494342456492279E-3</c:v>
                  </c:pt>
                  <c:pt idx="2">
                    <c:v>-1.5578146272795523E-3</c:v>
                  </c:pt>
                  <c:pt idx="3">
                    <c:v>-9.1541899406166749E-4</c:v>
                  </c:pt>
                  <c:pt idx="4">
                    <c:v>-1.1447892015515326E-3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'P2'!$BR$7:$BR$11</c:f>
              <c:numCache>
                <c:formatCode>General</c:formatCode>
                <c:ptCount val="5"/>
                <c:pt idx="0">
                  <c:v>0</c:v>
                </c:pt>
                <c:pt idx="1">
                  <c:v>0.89277777777777778</c:v>
                </c:pt>
                <c:pt idx="2">
                  <c:v>1.9827777777777778</c:v>
                </c:pt>
                <c:pt idx="3">
                  <c:v>4.0727777777777776</c:v>
                </c:pt>
                <c:pt idx="4">
                  <c:v>4.9702777777777785</c:v>
                </c:pt>
              </c:numCache>
            </c:numRef>
          </c:xVal>
          <c:yVal>
            <c:numRef>
              <c:f>'P2'!$BS$7:$BS$11</c:f>
              <c:numCache>
                <c:formatCode>0.00</c:formatCode>
                <c:ptCount val="5"/>
                <c:pt idx="0">
                  <c:v>-0.32186383579687849</c:v>
                </c:pt>
                <c:pt idx="1">
                  <c:v>-0.32361724225194466</c:v>
                </c:pt>
                <c:pt idx="2">
                  <c:v>-0.32661332083736405</c:v>
                </c:pt>
                <c:pt idx="3">
                  <c:v>-0.33673227042707282</c:v>
                </c:pt>
                <c:pt idx="4">
                  <c:v>-0.34235598698245945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5F-44A7-8287-03576E1ECC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3552096"/>
        <c:axId val="1537817760"/>
      </c:scatterChart>
      <c:valAx>
        <c:axId val="1643552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7817760"/>
        <c:crosses val="autoZero"/>
        <c:crossBetween val="midCat"/>
      </c:valAx>
      <c:valAx>
        <c:axId val="1537817760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3552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Half life room temp P3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P3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'P3'!$D$9:$D$16</c:f>
              <c:numCache>
                <c:formatCode>0.00</c:formatCode>
                <c:ptCount val="8"/>
                <c:pt idx="0" formatCode="General">
                  <c:v>-2</c:v>
                </c:pt>
                <c:pt idx="1">
                  <c:v>0</c:v>
                </c:pt>
                <c:pt idx="2">
                  <c:v>25.733333333333334</c:v>
                </c:pt>
                <c:pt idx="3">
                  <c:v>48.383333333333333</c:v>
                </c:pt>
                <c:pt idx="4">
                  <c:v>71.45</c:v>
                </c:pt>
                <c:pt idx="5">
                  <c:v>142.08333333333334</c:v>
                </c:pt>
                <c:pt idx="6">
                  <c:v>167.45</c:v>
                </c:pt>
                <c:pt idx="7">
                  <c:v>192.65</c:v>
                </c:pt>
              </c:numCache>
            </c:numRef>
          </c:xVal>
          <c:yVal>
            <c:numRef>
              <c:f>'P3'!$K$9:$K$16</c:f>
              <c:numCache>
                <c:formatCode>0.00</c:formatCode>
                <c:ptCount val="8"/>
                <c:pt idx="0" formatCode="General">
                  <c:v>6.785144017121354</c:v>
                </c:pt>
                <c:pt idx="1">
                  <c:v>100</c:v>
                </c:pt>
                <c:pt idx="2">
                  <c:v>81.608930155931986</c:v>
                </c:pt>
                <c:pt idx="3">
                  <c:v>67.929849526471244</c:v>
                </c:pt>
                <c:pt idx="4">
                  <c:v>56.297535854361222</c:v>
                </c:pt>
                <c:pt idx="5">
                  <c:v>35.523106246596534</c:v>
                </c:pt>
                <c:pt idx="6">
                  <c:v>30.978201949780086</c:v>
                </c:pt>
                <c:pt idx="7">
                  <c:v>27.64604313299921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A73-B74C-8076-EA9F18B08EF6}"/>
            </c:ext>
          </c:extLst>
        </c:ser>
        <c:ser>
          <c:idx val="0"/>
          <c:order val="1"/>
          <c:tx>
            <c:v>P3 solid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'P3'!$P$9:$P$15</c:f>
              <c:numCache>
                <c:formatCode>0.00</c:formatCode>
                <c:ptCount val="7"/>
                <c:pt idx="0">
                  <c:v>0</c:v>
                </c:pt>
                <c:pt idx="1">
                  <c:v>19.25</c:v>
                </c:pt>
                <c:pt idx="2">
                  <c:v>51.966666666666669</c:v>
                </c:pt>
                <c:pt idx="3">
                  <c:v>73.166666666666671</c:v>
                </c:pt>
                <c:pt idx="4">
                  <c:v>96.63333333333334</c:v>
                </c:pt>
                <c:pt idx="5">
                  <c:v>120.76666666666667</c:v>
                </c:pt>
                <c:pt idx="6">
                  <c:v>144.15</c:v>
                </c:pt>
              </c:numCache>
            </c:numRef>
          </c:xVal>
          <c:yVal>
            <c:numRef>
              <c:f>'P3'!$W$9:$W$15</c:f>
              <c:numCache>
                <c:formatCode>0.00</c:formatCode>
                <c:ptCount val="7"/>
                <c:pt idx="0">
                  <c:v>100</c:v>
                </c:pt>
                <c:pt idx="1">
                  <c:v>84.07228743897852</c:v>
                </c:pt>
                <c:pt idx="2">
                  <c:v>54.906701837847947</c:v>
                </c:pt>
                <c:pt idx="3">
                  <c:v>44.264229269987673</c:v>
                </c:pt>
                <c:pt idx="4">
                  <c:v>35.66466716772868</c:v>
                </c:pt>
                <c:pt idx="5">
                  <c:v>32.256100156305592</c:v>
                </c:pt>
                <c:pt idx="6">
                  <c:v>30.278865656051039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A73-B74C-8076-EA9F18B08EF6}"/>
            </c:ext>
          </c:extLst>
        </c:ser>
        <c:ser>
          <c:idx val="2"/>
          <c:order val="2"/>
          <c:tx>
            <c:v>50%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'P3'!$T$31:$T$32</c:f>
              <c:numCache>
                <c:formatCode>General</c:formatCode>
                <c:ptCount val="2"/>
                <c:pt idx="0">
                  <c:v>0</c:v>
                </c:pt>
                <c:pt idx="1">
                  <c:v>195</c:v>
                </c:pt>
              </c:numCache>
            </c:numRef>
          </c:xVal>
          <c:yVal>
            <c:numRef>
              <c:f>'P3'!$U$31:$U$32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A73-B74C-8076-EA9F18B08E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002576"/>
        <c:axId val="644103872"/>
      </c:scatterChart>
      <c:valAx>
        <c:axId val="644002576"/>
        <c:scaling>
          <c:orientation val="minMax"/>
          <c:max val="200"/>
          <c:min val="-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103872"/>
        <c:crosses val="autoZero"/>
        <c:crossBetween val="midCat"/>
      </c:valAx>
      <c:valAx>
        <c:axId val="644103872"/>
        <c:scaling>
          <c:orientation val="minMax"/>
          <c:max val="110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025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Half life room temp P3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5458328425144511"/>
                  <c:y val="-0.2530017006756055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'P3'!$D$10:$D$16</c:f>
              <c:numCache>
                <c:formatCode>0.00</c:formatCode>
                <c:ptCount val="7"/>
                <c:pt idx="0">
                  <c:v>0</c:v>
                </c:pt>
                <c:pt idx="1">
                  <c:v>25.733333333333334</c:v>
                </c:pt>
                <c:pt idx="2">
                  <c:v>48.383333333333333</c:v>
                </c:pt>
                <c:pt idx="3">
                  <c:v>71.45</c:v>
                </c:pt>
                <c:pt idx="4">
                  <c:v>142.08333333333334</c:v>
                </c:pt>
                <c:pt idx="5">
                  <c:v>167.45</c:v>
                </c:pt>
                <c:pt idx="6">
                  <c:v>192.65</c:v>
                </c:pt>
              </c:numCache>
            </c:numRef>
          </c:xVal>
          <c:yVal>
            <c:numRef>
              <c:f>'P3'!$L$10:$L$16</c:f>
              <c:numCache>
                <c:formatCode>General</c:formatCode>
                <c:ptCount val="7"/>
                <c:pt idx="0">
                  <c:v>3.0820108821344148</c:v>
                </c:pt>
                <c:pt idx="1">
                  <c:v>2.8665969184675788</c:v>
                </c:pt>
                <c:pt idx="2">
                  <c:v>2.6830263669973817</c:v>
                </c:pt>
                <c:pt idx="3">
                  <c:v>2.5009850304173398</c:v>
                </c:pt>
                <c:pt idx="4">
                  <c:v>2.042362533438415</c:v>
                </c:pt>
                <c:pt idx="5">
                  <c:v>1.9046565137725386</c:v>
                </c:pt>
                <c:pt idx="6">
                  <c:v>1.7903417981404344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0F-E643-BE6C-CDBB61A5539E}"/>
            </c:ext>
          </c:extLst>
        </c:ser>
        <c:ser>
          <c:idx val="0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2.0508638662115931E-2"/>
                  <c:y val="7.221813110181310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'P3'!$P$9:$P$15</c:f>
              <c:numCache>
                <c:formatCode>0.00</c:formatCode>
                <c:ptCount val="7"/>
                <c:pt idx="0">
                  <c:v>0</c:v>
                </c:pt>
                <c:pt idx="1">
                  <c:v>19.25</c:v>
                </c:pt>
                <c:pt idx="2">
                  <c:v>51.966666666666669</c:v>
                </c:pt>
                <c:pt idx="3">
                  <c:v>73.166666666666671</c:v>
                </c:pt>
                <c:pt idx="4">
                  <c:v>96.63333333333334</c:v>
                </c:pt>
                <c:pt idx="5">
                  <c:v>120.76666666666667</c:v>
                </c:pt>
                <c:pt idx="6">
                  <c:v>144.15</c:v>
                </c:pt>
              </c:numCache>
            </c:numRef>
          </c:xVal>
          <c:yVal>
            <c:numRef>
              <c:f>'P3'!$X$9:$X$15</c:f>
              <c:numCache>
                <c:formatCode>General</c:formatCode>
                <c:ptCount val="7"/>
                <c:pt idx="0">
                  <c:v>2.7657277394329798</c:v>
                </c:pt>
                <c:pt idx="1">
                  <c:v>2.5947321824049849</c:v>
                </c:pt>
                <c:pt idx="2">
                  <c:v>2.1753765262530029</c:v>
                </c:pt>
                <c:pt idx="3">
                  <c:v>1.9475516581845684</c:v>
                </c:pt>
                <c:pt idx="4">
                  <c:v>1.723230775708126</c:v>
                </c:pt>
                <c:pt idx="5">
                  <c:v>1.6248387090101233</c:v>
                </c:pt>
                <c:pt idx="6">
                  <c:v>1.5649006916663641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80F-E643-BE6C-CDBB61A553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002576"/>
        <c:axId val="644103872"/>
      </c:scatterChart>
      <c:valAx>
        <c:axId val="644002576"/>
        <c:scaling>
          <c:orientation val="minMax"/>
          <c:max val="200"/>
          <c:min val="-5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103872"/>
        <c:crosses val="autoZero"/>
        <c:crossBetween val="midCat"/>
      </c:valAx>
      <c:valAx>
        <c:axId val="644103872"/>
        <c:scaling>
          <c:orientation val="minMax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025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Half life room temp P3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600968301407939E-2"/>
          <c:y val="1.2727063734755985E-2"/>
          <c:w val="0.91976352585267707"/>
          <c:h val="0.86030225293933049"/>
        </c:manualLayout>
      </c:layout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'P3'!$D$10:$D$16</c:f>
              <c:numCache>
                <c:formatCode>0.00</c:formatCode>
                <c:ptCount val="7"/>
                <c:pt idx="0">
                  <c:v>0</c:v>
                </c:pt>
                <c:pt idx="1">
                  <c:v>25.733333333333334</c:v>
                </c:pt>
                <c:pt idx="2">
                  <c:v>48.383333333333333</c:v>
                </c:pt>
                <c:pt idx="3">
                  <c:v>71.45</c:v>
                </c:pt>
                <c:pt idx="4">
                  <c:v>142.08333333333334</c:v>
                </c:pt>
                <c:pt idx="5">
                  <c:v>167.45</c:v>
                </c:pt>
                <c:pt idx="6">
                  <c:v>192.65</c:v>
                </c:pt>
              </c:numCache>
            </c:numRef>
          </c:xVal>
          <c:yVal>
            <c:numRef>
              <c:f>'P3'!$K$9:$K$16</c:f>
              <c:numCache>
                <c:formatCode>0.00</c:formatCode>
                <c:ptCount val="8"/>
                <c:pt idx="0" formatCode="General">
                  <c:v>6.785144017121354</c:v>
                </c:pt>
                <c:pt idx="1">
                  <c:v>100</c:v>
                </c:pt>
                <c:pt idx="2">
                  <c:v>81.608930155931986</c:v>
                </c:pt>
                <c:pt idx="3">
                  <c:v>67.929849526471244</c:v>
                </c:pt>
                <c:pt idx="4">
                  <c:v>56.297535854361222</c:v>
                </c:pt>
                <c:pt idx="5">
                  <c:v>35.523106246596534</c:v>
                </c:pt>
                <c:pt idx="6">
                  <c:v>30.978201949780086</c:v>
                </c:pt>
                <c:pt idx="7">
                  <c:v>27.64604313299921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3E-4805-B6C6-4B8CAAB0FA04}"/>
            </c:ext>
          </c:extLst>
        </c:ser>
        <c:ser>
          <c:idx val="0"/>
          <c:order val="1"/>
          <c:tx>
            <c:v>P3 solid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'P3'!$P$9:$P$15</c:f>
              <c:numCache>
                <c:formatCode>0.00</c:formatCode>
                <c:ptCount val="7"/>
                <c:pt idx="0">
                  <c:v>0</c:v>
                </c:pt>
                <c:pt idx="1">
                  <c:v>19.25</c:v>
                </c:pt>
                <c:pt idx="2">
                  <c:v>51.966666666666669</c:v>
                </c:pt>
                <c:pt idx="3">
                  <c:v>73.166666666666671</c:v>
                </c:pt>
                <c:pt idx="4">
                  <c:v>96.63333333333334</c:v>
                </c:pt>
                <c:pt idx="5">
                  <c:v>120.76666666666667</c:v>
                </c:pt>
                <c:pt idx="6">
                  <c:v>144.15</c:v>
                </c:pt>
              </c:numCache>
            </c:numRef>
          </c:xVal>
          <c:yVal>
            <c:numRef>
              <c:f>'P3'!$W$9:$W$15</c:f>
              <c:numCache>
                <c:formatCode>0.00</c:formatCode>
                <c:ptCount val="7"/>
                <c:pt idx="0">
                  <c:v>100</c:v>
                </c:pt>
                <c:pt idx="1">
                  <c:v>84.07228743897852</c:v>
                </c:pt>
                <c:pt idx="2">
                  <c:v>54.906701837847947</c:v>
                </c:pt>
                <c:pt idx="3">
                  <c:v>44.264229269987673</c:v>
                </c:pt>
                <c:pt idx="4">
                  <c:v>35.66466716772868</c:v>
                </c:pt>
                <c:pt idx="5">
                  <c:v>32.256100156305592</c:v>
                </c:pt>
                <c:pt idx="6">
                  <c:v>30.278865656051039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3E-4805-B6C6-4B8CAAB0FA04}"/>
            </c:ext>
          </c:extLst>
        </c:ser>
        <c:ser>
          <c:idx val="2"/>
          <c:order val="2"/>
          <c:tx>
            <c:v>50%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'P3'!$T$31:$T$32</c:f>
              <c:numCache>
                <c:formatCode>General</c:formatCode>
                <c:ptCount val="2"/>
                <c:pt idx="0">
                  <c:v>0</c:v>
                </c:pt>
                <c:pt idx="1">
                  <c:v>195</c:v>
                </c:pt>
              </c:numCache>
            </c:numRef>
          </c:xVal>
          <c:yVal>
            <c:numRef>
              <c:f>'P3'!$U$31:$U$32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63E-4805-B6C6-4B8CAAB0FA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002576"/>
        <c:axId val="644103872"/>
      </c:scatterChart>
      <c:valAx>
        <c:axId val="644002576"/>
        <c:scaling>
          <c:orientation val="minMax"/>
          <c:max val="200"/>
          <c:min val="-5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103872"/>
        <c:crosses val="autoZero"/>
        <c:crossBetween val="midCat"/>
      </c:valAx>
      <c:valAx>
        <c:axId val="644103872"/>
        <c:scaling>
          <c:orientation val="minMax"/>
          <c:max val="110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025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Half life room temp P3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5458328425144511"/>
                  <c:y val="-0.2530017006756055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'P3'!$D$10:$D$16</c:f>
              <c:numCache>
                <c:formatCode>0.00</c:formatCode>
                <c:ptCount val="7"/>
                <c:pt idx="0">
                  <c:v>0</c:v>
                </c:pt>
                <c:pt idx="1">
                  <c:v>25.733333333333334</c:v>
                </c:pt>
                <c:pt idx="2">
                  <c:v>48.383333333333333</c:v>
                </c:pt>
                <c:pt idx="3">
                  <c:v>71.45</c:v>
                </c:pt>
                <c:pt idx="4">
                  <c:v>142.08333333333334</c:v>
                </c:pt>
                <c:pt idx="5">
                  <c:v>167.45</c:v>
                </c:pt>
                <c:pt idx="6">
                  <c:v>192.65</c:v>
                </c:pt>
              </c:numCache>
            </c:numRef>
          </c:xVal>
          <c:yVal>
            <c:numRef>
              <c:f>'P3'!$L$10:$L$16</c:f>
              <c:numCache>
                <c:formatCode>General</c:formatCode>
                <c:ptCount val="7"/>
                <c:pt idx="0">
                  <c:v>3.0820108821344148</c:v>
                </c:pt>
                <c:pt idx="1">
                  <c:v>2.8665969184675788</c:v>
                </c:pt>
                <c:pt idx="2">
                  <c:v>2.6830263669973817</c:v>
                </c:pt>
                <c:pt idx="3">
                  <c:v>2.5009850304173398</c:v>
                </c:pt>
                <c:pt idx="4">
                  <c:v>2.042362533438415</c:v>
                </c:pt>
                <c:pt idx="5">
                  <c:v>1.9046565137725386</c:v>
                </c:pt>
                <c:pt idx="6">
                  <c:v>1.7903417981404344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47-4983-AE8D-5758F76383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002576"/>
        <c:axId val="644103872"/>
      </c:scatterChart>
      <c:valAx>
        <c:axId val="644002576"/>
        <c:scaling>
          <c:orientation val="minMax"/>
          <c:max val="200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103872"/>
        <c:crosses val="autoZero"/>
        <c:crossBetween val="midCat"/>
      </c:valAx>
      <c:valAx>
        <c:axId val="644103872"/>
        <c:scaling>
          <c:orientation val="minMax"/>
          <c:min val="1.5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025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1"/>
            <c:trendlineLbl>
              <c:layout>
                <c:manualLayout>
                  <c:x val="-0.1350217990653188"/>
                  <c:y val="9.504378762309699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5011069544784823"/>
                  <c:y val="8.030774413479764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'M1'!$B$5:$B$13</c:f>
              <c:numCache>
                <c:formatCode>0.00</c:formatCode>
                <c:ptCount val="9"/>
                <c:pt idx="0">
                  <c:v>0</c:v>
                </c:pt>
                <c:pt idx="1">
                  <c:v>21.288333333333334</c:v>
                </c:pt>
                <c:pt idx="2">
                  <c:v>45.2425</c:v>
                </c:pt>
                <c:pt idx="3">
                  <c:v>69.24111116666667</c:v>
                </c:pt>
                <c:pt idx="4">
                  <c:v>91.206111166666659</c:v>
                </c:pt>
                <c:pt idx="5">
                  <c:v>118.60277783333332</c:v>
                </c:pt>
                <c:pt idx="6">
                  <c:v>118.69</c:v>
                </c:pt>
                <c:pt idx="7">
                  <c:v>141.24416666666667</c:v>
                </c:pt>
                <c:pt idx="8">
                  <c:v>165.24777783333332</c:v>
                </c:pt>
              </c:numCache>
            </c:numRef>
          </c:xVal>
          <c:yVal>
            <c:numRef>
              <c:f>'M1'!$J$5:$J$13</c:f>
              <c:numCache>
                <c:formatCode>0.00</c:formatCode>
                <c:ptCount val="9"/>
                <c:pt idx="0">
                  <c:v>4.2814684581930154</c:v>
                </c:pt>
                <c:pt idx="1">
                  <c:v>4.1454732597309949</c:v>
                </c:pt>
                <c:pt idx="2">
                  <c:v>4.0053348262060977</c:v>
                </c:pt>
                <c:pt idx="3">
                  <c:v>3.8785965133075964</c:v>
                </c:pt>
                <c:pt idx="4">
                  <c:v>3.7497722752558342</c:v>
                </c:pt>
                <c:pt idx="5">
                  <c:v>3.593818493251991</c:v>
                </c:pt>
                <c:pt idx="6">
                  <c:v>3.5914430154224606</c:v>
                </c:pt>
                <c:pt idx="7">
                  <c:v>3.4623646013437797</c:v>
                </c:pt>
                <c:pt idx="8">
                  <c:v>3.3383179279552446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23-4924-B278-7EF7A8921F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338944"/>
        <c:axId val="411015696"/>
      </c:scatterChart>
      <c:valAx>
        <c:axId val="359338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015696"/>
        <c:crosses val="autoZero"/>
        <c:crossBetween val="midCat"/>
      </c:valAx>
      <c:valAx>
        <c:axId val="411015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338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'P3'!$AC$9:$AC$15</c:f>
              <c:numCache>
                <c:formatCode>General</c:formatCode>
                <c:ptCount val="7"/>
                <c:pt idx="0">
                  <c:v>0</c:v>
                </c:pt>
                <c:pt idx="1">
                  <c:v>19.25</c:v>
                </c:pt>
                <c:pt idx="2">
                  <c:v>51.966666666666669</c:v>
                </c:pt>
                <c:pt idx="3">
                  <c:v>73.166666666666671</c:v>
                </c:pt>
                <c:pt idx="4">
                  <c:v>96.63333333333334</c:v>
                </c:pt>
                <c:pt idx="5">
                  <c:v>120.76666666666667</c:v>
                </c:pt>
                <c:pt idx="6">
                  <c:v>144.15</c:v>
                </c:pt>
              </c:numCache>
            </c:numRef>
          </c:xVal>
          <c:yVal>
            <c:numRef>
              <c:f>'P3'!$AD$9:$AD$15</c:f>
              <c:numCache>
                <c:formatCode>0.00</c:formatCode>
                <c:ptCount val="7"/>
                <c:pt idx="0">
                  <c:v>-0.34570540357306978</c:v>
                </c:pt>
                <c:pt idx="1">
                  <c:v>-0.51919859604164786</c:v>
                </c:pt>
                <c:pt idx="2">
                  <c:v>-0.94524017494690271</c:v>
                </c:pt>
                <c:pt idx="3">
                  <c:v>-1.160698704374852</c:v>
                </c:pt>
                <c:pt idx="4">
                  <c:v>-1.3767151060567129</c:v>
                </c:pt>
                <c:pt idx="5">
                  <c:v>-1.4771684120728823</c:v>
                </c:pt>
                <c:pt idx="6">
                  <c:v>-1.5404256235149245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D3-45D1-9F2C-435545BBA3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519264"/>
        <c:axId val="1804760464"/>
      </c:scatterChart>
      <c:valAx>
        <c:axId val="464519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4760464"/>
        <c:crosses val="autoZero"/>
        <c:crossBetween val="midCat"/>
      </c:valAx>
      <c:valAx>
        <c:axId val="180476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519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Solution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'P3'!$D$10:$D$16</c:f>
              <c:numCache>
                <c:formatCode>0.00</c:formatCode>
                <c:ptCount val="7"/>
                <c:pt idx="0">
                  <c:v>0</c:v>
                </c:pt>
                <c:pt idx="1">
                  <c:v>25.733333333333334</c:v>
                </c:pt>
                <c:pt idx="2">
                  <c:v>48.383333333333333</c:v>
                </c:pt>
                <c:pt idx="3">
                  <c:v>71.45</c:v>
                </c:pt>
                <c:pt idx="4">
                  <c:v>142.08333333333334</c:v>
                </c:pt>
                <c:pt idx="5">
                  <c:v>167.45</c:v>
                </c:pt>
                <c:pt idx="6">
                  <c:v>192.65</c:v>
                </c:pt>
              </c:numCache>
            </c:numRef>
          </c:xVal>
          <c:yVal>
            <c:numRef>
              <c:f>'P3'!$N$10:$N$16</c:f>
              <c:numCache>
                <c:formatCode>0.00</c:formatCode>
                <c:ptCount val="7"/>
                <c:pt idx="0">
                  <c:v>-3.6839061466567929E-2</c:v>
                </c:pt>
                <c:pt idx="1">
                  <c:v>-0.24007055328707835</c:v>
                </c:pt>
                <c:pt idx="2">
                  <c:v>-0.42353369938019031</c:v>
                </c:pt>
                <c:pt idx="3">
                  <c:v>-0.61135848139544213</c:v>
                </c:pt>
                <c:pt idx="4">
                  <c:v>-1.0718258825181104</c:v>
                </c:pt>
                <c:pt idx="5">
                  <c:v>-1.2087254532148233</c:v>
                </c:pt>
                <c:pt idx="6">
                  <c:v>-1.3225266352242002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00-482A-A1BF-57B7CA34F9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519264"/>
        <c:axId val="1804760464"/>
      </c:scatterChart>
      <c:valAx>
        <c:axId val="464519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4760464"/>
        <c:crosses val="autoZero"/>
        <c:crossBetween val="midCat"/>
      </c:valAx>
      <c:valAx>
        <c:axId val="180476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519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Half life room temp P4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P4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'P4'!$C$6:$C$13</c:f>
              <c:numCache>
                <c:formatCode>0.00</c:formatCode>
                <c:ptCount val="8"/>
                <c:pt idx="0" formatCode="General">
                  <c:v>-2</c:v>
                </c:pt>
                <c:pt idx="1">
                  <c:v>0</c:v>
                </c:pt>
                <c:pt idx="2">
                  <c:v>22.933333333333334</c:v>
                </c:pt>
                <c:pt idx="3">
                  <c:v>47.383333333333333</c:v>
                </c:pt>
                <c:pt idx="4">
                  <c:v>67.86666666666666</c:v>
                </c:pt>
                <c:pt idx="5">
                  <c:v>96.2</c:v>
                </c:pt>
                <c:pt idx="6">
                  <c:v>164.91666666666666</c:v>
                </c:pt>
                <c:pt idx="7">
                  <c:v>194.06666666666666</c:v>
                </c:pt>
              </c:numCache>
            </c:numRef>
          </c:xVal>
          <c:yVal>
            <c:numRef>
              <c:f>'P4'!$J$6:$J$13</c:f>
              <c:numCache>
                <c:formatCode>0.00</c:formatCode>
                <c:ptCount val="8"/>
                <c:pt idx="0" formatCode="General">
                  <c:v>5.8913545502119042</c:v>
                </c:pt>
                <c:pt idx="1">
                  <c:v>100</c:v>
                </c:pt>
                <c:pt idx="2">
                  <c:v>83.474096203116716</c:v>
                </c:pt>
                <c:pt idx="3">
                  <c:v>68.920378251875931</c:v>
                </c:pt>
                <c:pt idx="4">
                  <c:v>58.932484479071626</c:v>
                </c:pt>
                <c:pt idx="5">
                  <c:v>47.66322606022861</c:v>
                </c:pt>
                <c:pt idx="6">
                  <c:v>30.144156205614216</c:v>
                </c:pt>
                <c:pt idx="7">
                  <c:v>25.261571130848431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82-5347-950D-DD487F7110F9}"/>
            </c:ext>
          </c:extLst>
        </c:ser>
        <c:ser>
          <c:idx val="3"/>
          <c:order val="1"/>
          <c:tx>
            <c:v>50% charged</c:v>
          </c:tx>
          <c:spPr>
            <a:ln w="2540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'[1]T 0.5 (P2+P4)'!$X$7:$X$8</c:f>
              <c:numCache>
                <c:formatCode>General</c:formatCode>
                <c:ptCount val="2"/>
                <c:pt idx="0">
                  <c:v>0</c:v>
                </c:pt>
                <c:pt idx="1">
                  <c:v>11700</c:v>
                </c:pt>
              </c:numCache>
            </c:numRef>
          </c:xVal>
          <c:yVal>
            <c:numRef>
              <c:f>'[1]T 0.5 (P2+P4)'!$Y$7:$Y$8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882-5347-950D-DD487F7110F9}"/>
            </c:ext>
          </c:extLst>
        </c:ser>
        <c:ser>
          <c:idx val="4"/>
          <c:order val="2"/>
          <c:tx>
            <c:v>25% charged</c:v>
          </c:tx>
          <c:spPr>
            <a:ln w="25400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'[1]T 0.5 (P2+P4)'!$X$9:$X$10</c:f>
              <c:numCache>
                <c:formatCode>General</c:formatCode>
                <c:ptCount val="2"/>
                <c:pt idx="0">
                  <c:v>0</c:v>
                </c:pt>
                <c:pt idx="1">
                  <c:v>11700</c:v>
                </c:pt>
              </c:numCache>
            </c:numRef>
          </c:xVal>
          <c:yVal>
            <c:numRef>
              <c:f>'[1]T 0.5 (P2+P4)'!$Y$9:$Y$10</c:f>
              <c:numCache>
                <c:formatCode>General</c:formatCode>
                <c:ptCount val="2"/>
                <c:pt idx="0">
                  <c:v>25</c:v>
                </c:pt>
                <c:pt idx="1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882-5347-950D-DD487F7110F9}"/>
            </c:ext>
          </c:extLst>
        </c:ser>
        <c:ser>
          <c:idx val="0"/>
          <c:order val="3"/>
          <c:tx>
            <c:v>P4 solid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'P4'!$O$6:$O$12</c:f>
              <c:numCache>
                <c:formatCode>0.00</c:formatCode>
                <c:ptCount val="7"/>
                <c:pt idx="0">
                  <c:v>0</c:v>
                </c:pt>
                <c:pt idx="1">
                  <c:v>19.25</c:v>
                </c:pt>
                <c:pt idx="2">
                  <c:v>51.966666666666669</c:v>
                </c:pt>
                <c:pt idx="3">
                  <c:v>73.166666666666671</c:v>
                </c:pt>
                <c:pt idx="4">
                  <c:v>96.466666666666669</c:v>
                </c:pt>
                <c:pt idx="5">
                  <c:v>120.76666666666667</c:v>
                </c:pt>
                <c:pt idx="6">
                  <c:v>144.15</c:v>
                </c:pt>
              </c:numCache>
            </c:numRef>
          </c:xVal>
          <c:yVal>
            <c:numRef>
              <c:f>'P4'!$V$6:$V$12</c:f>
              <c:numCache>
                <c:formatCode>0.00</c:formatCode>
                <c:ptCount val="7"/>
                <c:pt idx="0">
                  <c:v>100</c:v>
                </c:pt>
                <c:pt idx="1">
                  <c:v>83.624672926254632</c:v>
                </c:pt>
                <c:pt idx="2">
                  <c:v>55.69309104094927</c:v>
                </c:pt>
                <c:pt idx="3">
                  <c:v>46.775328891865904</c:v>
                </c:pt>
                <c:pt idx="4">
                  <c:v>40.50695366368803</c:v>
                </c:pt>
                <c:pt idx="5">
                  <c:v>34.819889907091046</c:v>
                </c:pt>
                <c:pt idx="6">
                  <c:v>31.94039173559398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882-5347-950D-DD487F7110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002576"/>
        <c:axId val="644103872"/>
      </c:scatterChart>
      <c:valAx>
        <c:axId val="644002576"/>
        <c:scaling>
          <c:orientation val="minMax"/>
          <c:max val="200"/>
          <c:min val="-5"/>
        </c:scaling>
        <c:delete val="0"/>
        <c:axPos val="b"/>
        <c:numFmt formatCode="General" sourceLinked="1"/>
        <c:majorTickMark val="none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103872"/>
        <c:crosses val="autoZero"/>
        <c:crossBetween val="midCat"/>
      </c:valAx>
      <c:valAx>
        <c:axId val="644103872"/>
        <c:scaling>
          <c:orientation val="minMax"/>
          <c:max val="110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025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Half life room temp P4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6784862907676244E-3"/>
                  <c:y val="-0.1619582396067573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'P4'!$C$7:$C$13</c:f>
              <c:numCache>
                <c:formatCode>0.00</c:formatCode>
                <c:ptCount val="7"/>
                <c:pt idx="0">
                  <c:v>0</c:v>
                </c:pt>
                <c:pt idx="1">
                  <c:v>22.933333333333334</c:v>
                </c:pt>
                <c:pt idx="2">
                  <c:v>47.383333333333333</c:v>
                </c:pt>
                <c:pt idx="3">
                  <c:v>67.86666666666666</c:v>
                </c:pt>
                <c:pt idx="4">
                  <c:v>96.2</c:v>
                </c:pt>
                <c:pt idx="5">
                  <c:v>164.91666666666666</c:v>
                </c:pt>
                <c:pt idx="6">
                  <c:v>194.06666666666666</c:v>
                </c:pt>
              </c:numCache>
            </c:numRef>
          </c:xVal>
          <c:yVal>
            <c:numRef>
              <c:f>'P4'!$K$7:$K$13</c:f>
              <c:numCache>
                <c:formatCode>General</c:formatCode>
                <c:ptCount val="7"/>
                <c:pt idx="0">
                  <c:v>3.0727118330371721</c:v>
                </c:pt>
                <c:pt idx="1">
                  <c:v>2.8909715779681324</c:v>
                </c:pt>
                <c:pt idx="2">
                  <c:v>2.7032453429035583</c:v>
                </c:pt>
                <c:pt idx="3">
                  <c:v>2.5450527257470803</c:v>
                </c:pt>
                <c:pt idx="4">
                  <c:v>2.338521572798351</c:v>
                </c:pt>
                <c:pt idx="5">
                  <c:v>1.8910314875453238</c:v>
                </c:pt>
                <c:pt idx="6">
                  <c:v>1.716245380750838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92-084C-A23A-990FF8AD0F41}"/>
            </c:ext>
          </c:extLst>
        </c:ser>
        <c:ser>
          <c:idx val="0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5.0667877789785853E-4"/>
                  <c:y val="0.1633969188606907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'P4'!$O$6:$O$12</c:f>
              <c:numCache>
                <c:formatCode>0.00</c:formatCode>
                <c:ptCount val="7"/>
                <c:pt idx="0">
                  <c:v>0</c:v>
                </c:pt>
                <c:pt idx="1">
                  <c:v>19.25</c:v>
                </c:pt>
                <c:pt idx="2">
                  <c:v>51.966666666666669</c:v>
                </c:pt>
                <c:pt idx="3">
                  <c:v>73.166666666666671</c:v>
                </c:pt>
                <c:pt idx="4">
                  <c:v>96.466666666666669</c:v>
                </c:pt>
                <c:pt idx="5">
                  <c:v>120.76666666666667</c:v>
                </c:pt>
                <c:pt idx="6">
                  <c:v>144.15</c:v>
                </c:pt>
              </c:numCache>
            </c:numRef>
          </c:xVal>
          <c:yVal>
            <c:numRef>
              <c:f>'P4'!$W$6:$W$12</c:f>
              <c:numCache>
                <c:formatCode>General</c:formatCode>
                <c:ptCount val="7"/>
                <c:pt idx="0">
                  <c:v>2.8899216566157797</c:v>
                </c:pt>
                <c:pt idx="1">
                  <c:v>2.7215125095514514</c:v>
                </c:pt>
                <c:pt idx="2">
                  <c:v>2.3251388344636634</c:v>
                </c:pt>
                <c:pt idx="3">
                  <c:v>2.1544794384624493</c:v>
                </c:pt>
                <c:pt idx="4">
                  <c:v>2.0214680899043342</c:v>
                </c:pt>
                <c:pt idx="5">
                  <c:v>1.8700622024852285</c:v>
                </c:pt>
                <c:pt idx="6">
                  <c:v>1.7843151623388185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892-084C-A23A-990FF8AD0F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002576"/>
        <c:axId val="644103872"/>
      </c:scatterChart>
      <c:valAx>
        <c:axId val="644002576"/>
        <c:scaling>
          <c:orientation val="minMax"/>
          <c:max val="200"/>
          <c:min val="-5"/>
        </c:scaling>
        <c:delete val="0"/>
        <c:axPos val="b"/>
        <c:numFmt formatCode="0.00" sourceLinked="1"/>
        <c:majorTickMark val="none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103872"/>
        <c:crosses val="autoZero"/>
        <c:crossBetween val="midCat"/>
      </c:valAx>
      <c:valAx>
        <c:axId val="6441038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025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Half life room temp P4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'P4'!$C$7:$C$13</c:f>
              <c:numCache>
                <c:formatCode>0.00</c:formatCode>
                <c:ptCount val="7"/>
                <c:pt idx="0">
                  <c:v>0</c:v>
                </c:pt>
                <c:pt idx="1">
                  <c:v>22.933333333333334</c:v>
                </c:pt>
                <c:pt idx="2">
                  <c:v>47.383333333333333</c:v>
                </c:pt>
                <c:pt idx="3">
                  <c:v>67.86666666666666</c:v>
                </c:pt>
                <c:pt idx="4">
                  <c:v>96.2</c:v>
                </c:pt>
                <c:pt idx="5">
                  <c:v>164.91666666666666</c:v>
                </c:pt>
                <c:pt idx="6">
                  <c:v>194.06666666666666</c:v>
                </c:pt>
              </c:numCache>
            </c:numRef>
          </c:xVal>
          <c:yVal>
            <c:numRef>
              <c:f>'P4'!$I$7:$I$13</c:f>
              <c:numCache>
                <c:formatCode>0.00</c:formatCode>
                <c:ptCount val="7"/>
                <c:pt idx="0">
                  <c:v>96.704713595938486</c:v>
                </c:pt>
                <c:pt idx="1">
                  <c:v>80.723385660022188</c:v>
                </c:pt>
                <c:pt idx="2">
                  <c:v>66.649254397714088</c:v>
                </c:pt>
                <c:pt idx="3">
                  <c:v>56.990490330457114</c:v>
                </c:pt>
                <c:pt idx="4">
                  <c:v>46.09258625212879</c:v>
                </c:pt>
                <c:pt idx="5">
                  <c:v>29.150819924551541</c:v>
                </c:pt>
                <c:pt idx="6">
                  <c:v>24.429130011921252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08-44ED-9D3B-0CA0887F0406}"/>
            </c:ext>
          </c:extLst>
        </c:ser>
        <c:ser>
          <c:idx val="0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'P4'!$O$6:$O$12</c:f>
              <c:numCache>
                <c:formatCode>0.00</c:formatCode>
                <c:ptCount val="7"/>
                <c:pt idx="0">
                  <c:v>0</c:v>
                </c:pt>
                <c:pt idx="1">
                  <c:v>19.25</c:v>
                </c:pt>
                <c:pt idx="2">
                  <c:v>51.966666666666669</c:v>
                </c:pt>
                <c:pt idx="3">
                  <c:v>73.166666666666671</c:v>
                </c:pt>
                <c:pt idx="4">
                  <c:v>96.466666666666669</c:v>
                </c:pt>
                <c:pt idx="5">
                  <c:v>120.76666666666667</c:v>
                </c:pt>
                <c:pt idx="6">
                  <c:v>144.15</c:v>
                </c:pt>
              </c:numCache>
            </c:numRef>
          </c:xVal>
          <c:yVal>
            <c:numRef>
              <c:f>'P4'!$U$6:$U$12</c:f>
              <c:numCache>
                <c:formatCode>0.00</c:formatCode>
                <c:ptCount val="7"/>
                <c:pt idx="0">
                  <c:v>80.538327763988079</c:v>
                </c:pt>
                <c:pt idx="1">
                  <c:v>67.34991317290995</c:v>
                </c:pt>
                <c:pt idx="2">
                  <c:v>44.854284204456</c:v>
                </c:pt>
                <c:pt idx="3">
                  <c:v>37.672067695614373</c:v>
                </c:pt>
                <c:pt idx="4">
                  <c:v>32.623623108867847</c:v>
                </c:pt>
                <c:pt idx="5">
                  <c:v>28.04335706043279</c:v>
                </c:pt>
                <c:pt idx="6">
                  <c:v>25.724257385114441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08-44ED-9D3B-0CA0887F04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002576"/>
        <c:axId val="644103872"/>
      </c:scatterChart>
      <c:valAx>
        <c:axId val="644002576"/>
        <c:scaling>
          <c:orientation val="minMax"/>
          <c:max val="200"/>
          <c:min val="-5"/>
        </c:scaling>
        <c:delete val="0"/>
        <c:axPos val="b"/>
        <c:numFmt formatCode="0.00" sourceLinked="1"/>
        <c:majorTickMark val="none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103872"/>
        <c:crosses val="autoZero"/>
        <c:crossBetween val="midCat"/>
      </c:valAx>
      <c:valAx>
        <c:axId val="644103872"/>
        <c:scaling>
          <c:orientation val="minMax"/>
          <c:max val="110"/>
          <c:min val="0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025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Half life room temp P4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6784862907676244E-3"/>
                  <c:y val="-0.1619582396067573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'P4'!$C$7:$C$13</c:f>
              <c:numCache>
                <c:formatCode>0.00</c:formatCode>
                <c:ptCount val="7"/>
                <c:pt idx="0">
                  <c:v>0</c:v>
                </c:pt>
                <c:pt idx="1">
                  <c:v>22.933333333333334</c:v>
                </c:pt>
                <c:pt idx="2">
                  <c:v>47.383333333333333</c:v>
                </c:pt>
                <c:pt idx="3">
                  <c:v>67.86666666666666</c:v>
                </c:pt>
                <c:pt idx="4">
                  <c:v>96.2</c:v>
                </c:pt>
                <c:pt idx="5">
                  <c:v>164.91666666666666</c:v>
                </c:pt>
                <c:pt idx="6">
                  <c:v>194.06666666666666</c:v>
                </c:pt>
              </c:numCache>
            </c:numRef>
          </c:xVal>
          <c:yVal>
            <c:numRef>
              <c:f>'P4'!$K$7:$K$13</c:f>
              <c:numCache>
                <c:formatCode>General</c:formatCode>
                <c:ptCount val="7"/>
                <c:pt idx="0">
                  <c:v>3.0727118330371721</c:v>
                </c:pt>
                <c:pt idx="1">
                  <c:v>2.8909715779681324</c:v>
                </c:pt>
                <c:pt idx="2">
                  <c:v>2.7032453429035583</c:v>
                </c:pt>
                <c:pt idx="3">
                  <c:v>2.5450527257470803</c:v>
                </c:pt>
                <c:pt idx="4">
                  <c:v>2.338521572798351</c:v>
                </c:pt>
                <c:pt idx="5">
                  <c:v>1.8910314875453238</c:v>
                </c:pt>
                <c:pt idx="6">
                  <c:v>1.716245380750838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AB1-41BA-A2FD-746CE08EC5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002576"/>
        <c:axId val="644103872"/>
      </c:scatterChart>
      <c:valAx>
        <c:axId val="644002576"/>
        <c:scaling>
          <c:orientation val="minMax"/>
          <c:max val="200"/>
        </c:scaling>
        <c:delete val="0"/>
        <c:axPos val="b"/>
        <c:numFmt formatCode="0.00" sourceLinked="1"/>
        <c:majorTickMark val="none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103872"/>
        <c:crosses val="autoZero"/>
        <c:crossBetween val="midCat"/>
      </c:valAx>
      <c:valAx>
        <c:axId val="644103872"/>
        <c:scaling>
          <c:orientation val="minMax"/>
          <c:min val="1.5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025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'P4'!$AC$6:$AC$12</c:f>
              <c:numCache>
                <c:formatCode>General</c:formatCode>
                <c:ptCount val="7"/>
                <c:pt idx="0">
                  <c:v>0</c:v>
                </c:pt>
                <c:pt idx="1">
                  <c:v>19.25</c:v>
                </c:pt>
                <c:pt idx="2">
                  <c:v>51.966666666666669</c:v>
                </c:pt>
                <c:pt idx="3">
                  <c:v>73.166666666666671</c:v>
                </c:pt>
                <c:pt idx="4">
                  <c:v>96.466666666666669</c:v>
                </c:pt>
                <c:pt idx="5">
                  <c:v>120.76666666666667</c:v>
                </c:pt>
                <c:pt idx="6">
                  <c:v>144.15</c:v>
                </c:pt>
              </c:numCache>
            </c:numRef>
          </c:xVal>
          <c:yVal>
            <c:numRef>
              <c:f>'P4'!$AD$6:$AD$12</c:f>
              <c:numCache>
                <c:formatCode>0.00</c:formatCode>
                <c:ptCount val="7"/>
                <c:pt idx="0">
                  <c:v>-0.21643699358157381</c:v>
                </c:pt>
                <c:pt idx="1">
                  <c:v>-0.39526857232468082</c:v>
                </c:pt>
                <c:pt idx="2">
                  <c:v>-0.80175107909200194</c:v>
                </c:pt>
                <c:pt idx="3">
                  <c:v>-0.97625127607419104</c:v>
                </c:pt>
                <c:pt idx="4">
                  <c:v>-1.1201335247954354</c:v>
                </c:pt>
                <c:pt idx="5">
                  <c:v>-1.2714184070068479</c:v>
                </c:pt>
                <c:pt idx="6">
                  <c:v>-1.3577357721243226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66-4A54-93F3-36AD6E3E9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540960"/>
        <c:axId val="1723627152"/>
      </c:scatterChart>
      <c:valAx>
        <c:axId val="327540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3627152"/>
        <c:crosses val="autoZero"/>
        <c:crossBetween val="midCat"/>
      </c:valAx>
      <c:valAx>
        <c:axId val="1723627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540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Solution</a:t>
            </a:r>
          </a:p>
          <a:p>
            <a:pPr>
              <a:defRPr/>
            </a:pP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'P4'!$C$7:$C$13</c:f>
              <c:numCache>
                <c:formatCode>0.00</c:formatCode>
                <c:ptCount val="7"/>
                <c:pt idx="0">
                  <c:v>0</c:v>
                </c:pt>
                <c:pt idx="1">
                  <c:v>22.933333333333334</c:v>
                </c:pt>
                <c:pt idx="2">
                  <c:v>47.383333333333333</c:v>
                </c:pt>
                <c:pt idx="3">
                  <c:v>67.86666666666666</c:v>
                </c:pt>
                <c:pt idx="4">
                  <c:v>96.2</c:v>
                </c:pt>
                <c:pt idx="5">
                  <c:v>164.91666666666666</c:v>
                </c:pt>
                <c:pt idx="6">
                  <c:v>194.06666666666666</c:v>
                </c:pt>
              </c:numCache>
            </c:numRef>
          </c:xVal>
          <c:yVal>
            <c:numRef>
              <c:f>'P4'!$M$7:$M$13</c:f>
              <c:numCache>
                <c:formatCode>0.00</c:formatCode>
                <c:ptCount val="7"/>
                <c:pt idx="0">
                  <c:v>-3.3508040187982216E-2</c:v>
                </c:pt>
                <c:pt idx="1">
                  <c:v>-0.21414186756140288</c:v>
                </c:pt>
                <c:pt idx="2">
                  <c:v>-0.40572632625694321</c:v>
                </c:pt>
                <c:pt idx="3">
                  <c:v>-0.56228576838003608</c:v>
                </c:pt>
                <c:pt idx="4">
                  <c:v>-0.77451806774406218</c:v>
                </c:pt>
                <c:pt idx="5">
                  <c:v>-1.2326871458152457</c:v>
                </c:pt>
                <c:pt idx="6">
                  <c:v>-1.4093939128170869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78-40D8-BF96-A734919F58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540960"/>
        <c:axId val="1723627152"/>
      </c:scatterChart>
      <c:valAx>
        <c:axId val="327540960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3627152"/>
        <c:crosses val="autoZero"/>
        <c:crossBetween val="midCat"/>
      </c:valAx>
      <c:valAx>
        <c:axId val="172362715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540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Half life as</a:t>
            </a:r>
            <a:r>
              <a:rPr lang="en-US" baseline="0"/>
              <a:t> solid</a:t>
            </a:r>
            <a:r>
              <a:rPr lang="en-US"/>
              <a:t> P1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P1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'P1'!$B$7:$B$14</c:f>
              <c:numCache>
                <c:formatCode>0.00</c:formatCode>
                <c:ptCount val="8"/>
                <c:pt idx="0">
                  <c:v>0</c:v>
                </c:pt>
                <c:pt idx="1">
                  <c:v>25.5</c:v>
                </c:pt>
                <c:pt idx="2">
                  <c:v>71.599999999999994</c:v>
                </c:pt>
                <c:pt idx="3">
                  <c:v>95.88333333333334</c:v>
                </c:pt>
                <c:pt idx="4">
                  <c:v>119.26666666666667</c:v>
                </c:pt>
                <c:pt idx="5">
                  <c:v>143.46666666666667</c:v>
                </c:pt>
                <c:pt idx="6">
                  <c:v>166.85</c:v>
                </c:pt>
                <c:pt idx="7">
                  <c:v>194.83333333333334</c:v>
                </c:pt>
              </c:numCache>
            </c:numRef>
          </c:xVal>
          <c:yVal>
            <c:numRef>
              <c:f>'P1'!$I$7:$I$14</c:f>
              <c:numCache>
                <c:formatCode>0.00</c:formatCode>
                <c:ptCount val="8"/>
                <c:pt idx="0">
                  <c:v>100</c:v>
                </c:pt>
                <c:pt idx="1">
                  <c:v>90.454870051930826</c:v>
                </c:pt>
                <c:pt idx="2">
                  <c:v>75.710783079404436</c:v>
                </c:pt>
                <c:pt idx="3">
                  <c:v>68.329995594972203</c:v>
                </c:pt>
                <c:pt idx="4">
                  <c:v>61.642561235192552</c:v>
                </c:pt>
                <c:pt idx="5">
                  <c:v>55.618517816787836</c:v>
                </c:pt>
                <c:pt idx="6">
                  <c:v>50.648794947338786</c:v>
                </c:pt>
                <c:pt idx="7">
                  <c:v>45.297594003104329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DCDB-D849-BB0D-790F841AAEE3}"/>
            </c:ext>
          </c:extLst>
        </c:ser>
        <c:ser>
          <c:idx val="5"/>
          <c:order val="1"/>
          <c:tx>
            <c:v>P2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'P2'!$M$8:$M$14</c:f>
              <c:numCache>
                <c:formatCode>General</c:formatCode>
                <c:ptCount val="7"/>
                <c:pt idx="0">
                  <c:v>0</c:v>
                </c:pt>
                <c:pt idx="1">
                  <c:v>23.75</c:v>
                </c:pt>
                <c:pt idx="2">
                  <c:v>48.4</c:v>
                </c:pt>
                <c:pt idx="3">
                  <c:v>68.683333333333337</c:v>
                </c:pt>
                <c:pt idx="4">
                  <c:v>96.933333333333337</c:v>
                </c:pt>
                <c:pt idx="5">
                  <c:v>117.73333333333333</c:v>
                </c:pt>
                <c:pt idx="6">
                  <c:v>146.88333333333333</c:v>
                </c:pt>
              </c:numCache>
            </c:numRef>
          </c:xVal>
          <c:yVal>
            <c:numRef>
              <c:f>'P2'!$V$8:$V$14</c:f>
              <c:numCache>
                <c:formatCode>General</c:formatCode>
                <c:ptCount val="7"/>
                <c:pt idx="0">
                  <c:v>100</c:v>
                </c:pt>
                <c:pt idx="1">
                  <c:v>69.752081063902409</c:v>
                </c:pt>
                <c:pt idx="2">
                  <c:v>51.48014584308379</c:v>
                </c:pt>
                <c:pt idx="3">
                  <c:v>42.503009444238941</c:v>
                </c:pt>
                <c:pt idx="4">
                  <c:v>32.34498551992364</c:v>
                </c:pt>
                <c:pt idx="5">
                  <c:v>22.451465686204383</c:v>
                </c:pt>
                <c:pt idx="6">
                  <c:v>18.784368466338165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DCDB-D849-BB0D-790F841AAEE3}"/>
            </c:ext>
          </c:extLst>
        </c:ser>
        <c:ser>
          <c:idx val="4"/>
          <c:order val="2"/>
          <c:tx>
            <c:v>P3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xVal>
            <c:numRef>
              <c:f>'P3'!$D$9:$D$16</c:f>
              <c:numCache>
                <c:formatCode>0.00</c:formatCode>
                <c:ptCount val="8"/>
                <c:pt idx="0" formatCode="General">
                  <c:v>-2</c:v>
                </c:pt>
                <c:pt idx="1">
                  <c:v>0</c:v>
                </c:pt>
                <c:pt idx="2">
                  <c:v>25.733333333333334</c:v>
                </c:pt>
                <c:pt idx="3">
                  <c:v>48.383333333333333</c:v>
                </c:pt>
                <c:pt idx="4">
                  <c:v>71.45</c:v>
                </c:pt>
                <c:pt idx="5">
                  <c:v>142.08333333333334</c:v>
                </c:pt>
                <c:pt idx="6">
                  <c:v>167.45</c:v>
                </c:pt>
                <c:pt idx="7">
                  <c:v>192.65</c:v>
                </c:pt>
              </c:numCache>
            </c:numRef>
          </c:xVal>
          <c:yVal>
            <c:numRef>
              <c:f>'P3'!$K$9:$K$16</c:f>
              <c:numCache>
                <c:formatCode>0.00</c:formatCode>
                <c:ptCount val="8"/>
                <c:pt idx="0" formatCode="General">
                  <c:v>6.785144017121354</c:v>
                </c:pt>
                <c:pt idx="1">
                  <c:v>100</c:v>
                </c:pt>
                <c:pt idx="2">
                  <c:v>81.608930155931986</c:v>
                </c:pt>
                <c:pt idx="3">
                  <c:v>67.929849526471244</c:v>
                </c:pt>
                <c:pt idx="4">
                  <c:v>56.297535854361222</c:v>
                </c:pt>
                <c:pt idx="5">
                  <c:v>35.523106246596534</c:v>
                </c:pt>
                <c:pt idx="6">
                  <c:v>30.978201949780086</c:v>
                </c:pt>
                <c:pt idx="7">
                  <c:v>27.64604313299921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DCDB-D849-BB0D-790F841AAEE3}"/>
            </c:ext>
          </c:extLst>
        </c:ser>
        <c:ser>
          <c:idx val="0"/>
          <c:order val="3"/>
          <c:tx>
            <c:v>P4</c:v>
          </c:tx>
          <c:xVal>
            <c:numRef>
              <c:f>'P4'!$C$6:$C$13</c:f>
              <c:numCache>
                <c:formatCode>0.00</c:formatCode>
                <c:ptCount val="8"/>
                <c:pt idx="0" formatCode="General">
                  <c:v>-2</c:v>
                </c:pt>
                <c:pt idx="1">
                  <c:v>0</c:v>
                </c:pt>
                <c:pt idx="2">
                  <c:v>22.933333333333334</c:v>
                </c:pt>
                <c:pt idx="3">
                  <c:v>47.383333333333333</c:v>
                </c:pt>
                <c:pt idx="4">
                  <c:v>67.86666666666666</c:v>
                </c:pt>
                <c:pt idx="5">
                  <c:v>96.2</c:v>
                </c:pt>
                <c:pt idx="6">
                  <c:v>164.91666666666666</c:v>
                </c:pt>
                <c:pt idx="7">
                  <c:v>194.06666666666666</c:v>
                </c:pt>
              </c:numCache>
            </c:numRef>
          </c:xVal>
          <c:yVal>
            <c:numRef>
              <c:f>'P4'!$J$6:$J$13</c:f>
              <c:numCache>
                <c:formatCode>0.00</c:formatCode>
                <c:ptCount val="8"/>
                <c:pt idx="0" formatCode="General">
                  <c:v>5.8913545502119042</c:v>
                </c:pt>
                <c:pt idx="1">
                  <c:v>100</c:v>
                </c:pt>
                <c:pt idx="2">
                  <c:v>83.474096203116716</c:v>
                </c:pt>
                <c:pt idx="3">
                  <c:v>68.920378251875931</c:v>
                </c:pt>
                <c:pt idx="4">
                  <c:v>58.932484479071626</c:v>
                </c:pt>
                <c:pt idx="5">
                  <c:v>47.66322606022861</c:v>
                </c:pt>
                <c:pt idx="6">
                  <c:v>30.144156205614216</c:v>
                </c:pt>
                <c:pt idx="7">
                  <c:v>25.261571130848431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DCDB-D849-BB0D-790F841AAEE3}"/>
            </c:ext>
          </c:extLst>
        </c:ser>
        <c:ser>
          <c:idx val="2"/>
          <c:order val="4"/>
          <c:tx>
            <c:v>50% charged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xVal>
            <c:numRef>
              <c:f>'[1]T 0.5 (P2+P4)'!$X$7:$X$8</c:f>
              <c:numCache>
                <c:formatCode>General</c:formatCode>
                <c:ptCount val="2"/>
                <c:pt idx="0">
                  <c:v>0</c:v>
                </c:pt>
                <c:pt idx="1">
                  <c:v>11700</c:v>
                </c:pt>
              </c:numCache>
            </c:numRef>
          </c:xVal>
          <c:yVal>
            <c:numRef>
              <c:f>'[1]T 0.5 (P2+P4)'!$Y$7:$Y$8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DCDB-D849-BB0D-790F841AAEE3}"/>
            </c:ext>
          </c:extLst>
        </c:ser>
        <c:ser>
          <c:idx val="3"/>
          <c:order val="5"/>
          <c:tx>
            <c:v>25% charged</c:v>
          </c:tx>
          <c:spPr>
            <a:ln w="25400">
              <a:solidFill>
                <a:schemeClr val="tx1"/>
              </a:solidFill>
              <a:prstDash val="dashDot"/>
            </a:ln>
          </c:spPr>
          <c:xVal>
            <c:numRef>
              <c:f>'[1]T 0.5 (P2+P4)'!$X$9:$X$10</c:f>
              <c:numCache>
                <c:formatCode>General</c:formatCode>
                <c:ptCount val="2"/>
                <c:pt idx="0">
                  <c:v>0</c:v>
                </c:pt>
                <c:pt idx="1">
                  <c:v>11700</c:v>
                </c:pt>
              </c:numCache>
            </c:numRef>
          </c:xVal>
          <c:yVal>
            <c:numRef>
              <c:f>'[1]T 0.5 (P2+P4)'!$Y$9:$Y$10</c:f>
              <c:numCache>
                <c:formatCode>General</c:formatCode>
                <c:ptCount val="2"/>
                <c:pt idx="0">
                  <c:v>25</c:v>
                </c:pt>
                <c:pt idx="1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DCDB-D849-BB0D-790F841AAE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002576"/>
        <c:axId val="644103872"/>
      </c:scatterChart>
      <c:valAx>
        <c:axId val="644002576"/>
        <c:scaling>
          <c:orientation val="minMax"/>
          <c:max val="195"/>
          <c:min val="0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103872"/>
        <c:crosses val="autoZero"/>
        <c:crossBetween val="midCat"/>
      </c:valAx>
      <c:valAx>
        <c:axId val="644103872"/>
        <c:scaling>
          <c:orientation val="minMax"/>
          <c:max val="110"/>
          <c:min val="0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025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91296249590477774"/>
          <c:y val="0.66142098943038619"/>
          <c:w val="8.7037504818759492E-2"/>
          <c:h val="0.169816397915237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5555235062403193E-2"/>
          <c:y val="0.10056352432030546"/>
          <c:w val="0.96394097761461972"/>
          <c:h val="0.8559562680745807"/>
        </c:manualLayout>
      </c:layout>
      <c:scatterChart>
        <c:scatterStyle val="lineMarker"/>
        <c:varyColors val="0"/>
        <c:ser>
          <c:idx val="1"/>
          <c:order val="0"/>
          <c:marker>
            <c:symbol val="none"/>
          </c:marker>
          <c:xVal>
            <c:numRef>
              <c:f>'P4'!$C$7:$C$13</c:f>
              <c:numCache>
                <c:formatCode>0.00</c:formatCode>
                <c:ptCount val="7"/>
                <c:pt idx="0">
                  <c:v>0</c:v>
                </c:pt>
                <c:pt idx="1">
                  <c:v>22.933333333333334</c:v>
                </c:pt>
                <c:pt idx="2">
                  <c:v>47.383333333333333</c:v>
                </c:pt>
                <c:pt idx="3">
                  <c:v>67.86666666666666</c:v>
                </c:pt>
                <c:pt idx="4">
                  <c:v>96.2</c:v>
                </c:pt>
                <c:pt idx="5">
                  <c:v>164.91666666666666</c:v>
                </c:pt>
                <c:pt idx="6">
                  <c:v>194.06666666666666</c:v>
                </c:pt>
              </c:numCache>
            </c:numRef>
          </c:xVal>
          <c:yVal>
            <c:numRef>
              <c:f>'P4'!$K$7:$K$13</c:f>
              <c:numCache>
                <c:formatCode>General</c:formatCode>
                <c:ptCount val="7"/>
                <c:pt idx="0">
                  <c:v>3.0727118330371721</c:v>
                </c:pt>
                <c:pt idx="1">
                  <c:v>2.8909715779681324</c:v>
                </c:pt>
                <c:pt idx="2">
                  <c:v>2.7032453429035583</c:v>
                </c:pt>
                <c:pt idx="3">
                  <c:v>2.5450527257470803</c:v>
                </c:pt>
                <c:pt idx="4">
                  <c:v>2.338521572798351</c:v>
                </c:pt>
                <c:pt idx="5">
                  <c:v>1.8910314875453238</c:v>
                </c:pt>
                <c:pt idx="6">
                  <c:v>1.716245380750838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E7AE-4738-A925-718DEB0FAB01}"/>
            </c:ext>
          </c:extLst>
        </c:ser>
        <c:ser>
          <c:idx val="3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'P3'!$D$10:$D$16</c:f>
              <c:numCache>
                <c:formatCode>0.00</c:formatCode>
                <c:ptCount val="7"/>
                <c:pt idx="0">
                  <c:v>0</c:v>
                </c:pt>
                <c:pt idx="1">
                  <c:v>25.733333333333334</c:v>
                </c:pt>
                <c:pt idx="2">
                  <c:v>48.383333333333333</c:v>
                </c:pt>
                <c:pt idx="3">
                  <c:v>71.45</c:v>
                </c:pt>
                <c:pt idx="4">
                  <c:v>142.08333333333334</c:v>
                </c:pt>
                <c:pt idx="5">
                  <c:v>167.45</c:v>
                </c:pt>
                <c:pt idx="6">
                  <c:v>192.65</c:v>
                </c:pt>
              </c:numCache>
            </c:numRef>
          </c:xVal>
          <c:yVal>
            <c:numRef>
              <c:f>'P3'!$L$10:$L$16</c:f>
              <c:numCache>
                <c:formatCode>General</c:formatCode>
                <c:ptCount val="7"/>
                <c:pt idx="0">
                  <c:v>3.0820108821344148</c:v>
                </c:pt>
                <c:pt idx="1">
                  <c:v>2.8665969184675788</c:v>
                </c:pt>
                <c:pt idx="2">
                  <c:v>2.6830263669973817</c:v>
                </c:pt>
                <c:pt idx="3">
                  <c:v>2.5009850304173398</c:v>
                </c:pt>
                <c:pt idx="4">
                  <c:v>2.042362533438415</c:v>
                </c:pt>
                <c:pt idx="5">
                  <c:v>1.9046565137725386</c:v>
                </c:pt>
                <c:pt idx="6">
                  <c:v>1.7903417981404344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E7AE-4738-A925-718DEB0FAB01}"/>
            </c:ext>
          </c:extLst>
        </c:ser>
        <c:ser>
          <c:idx val="5"/>
          <c:order val="2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'P2'!$BB$7:$BB$11</c:f>
              <c:numCache>
                <c:formatCode>General</c:formatCode>
                <c:ptCount val="5"/>
                <c:pt idx="0">
                  <c:v>0</c:v>
                </c:pt>
                <c:pt idx="1">
                  <c:v>53.56666666666667</c:v>
                </c:pt>
                <c:pt idx="2">
                  <c:v>118.96666666666667</c:v>
                </c:pt>
                <c:pt idx="3">
                  <c:v>244.36666666666667</c:v>
                </c:pt>
                <c:pt idx="4">
                  <c:v>298.2166666666667</c:v>
                </c:pt>
              </c:numCache>
            </c:numRef>
          </c:xVal>
          <c:yVal>
            <c:numRef>
              <c:f>'P2'!$BK$7:$BK$11</c:f>
              <c:numCache>
                <c:formatCode>General</c:formatCode>
                <c:ptCount val="5"/>
                <c:pt idx="0">
                  <c:v>4.2838882404889862</c:v>
                </c:pt>
                <c:pt idx="1">
                  <c:v>4.2827023779817956</c:v>
                </c:pt>
                <c:pt idx="2">
                  <c:v>4.2801146797780065</c:v>
                </c:pt>
                <c:pt idx="3">
                  <c:v>4.2693533345550803</c:v>
                </c:pt>
                <c:pt idx="4">
                  <c:v>4.2639589882071833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E7AE-4738-A925-718DEB0FAB01}"/>
            </c:ext>
          </c:extLst>
        </c:ser>
        <c:ser>
          <c:idx val="6"/>
          <c:order val="3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'P2'!$BB$7:$BB$11</c:f>
              <c:numCache>
                <c:formatCode>General</c:formatCode>
                <c:ptCount val="5"/>
                <c:pt idx="0">
                  <c:v>0</c:v>
                </c:pt>
                <c:pt idx="1">
                  <c:v>53.56666666666667</c:v>
                </c:pt>
                <c:pt idx="2">
                  <c:v>118.96666666666667</c:v>
                </c:pt>
                <c:pt idx="3">
                  <c:v>244.36666666666667</c:v>
                </c:pt>
                <c:pt idx="4">
                  <c:v>298.2166666666667</c:v>
                </c:pt>
              </c:numCache>
            </c:numRef>
          </c:xVal>
          <c:yVal>
            <c:numRef>
              <c:f>'P2'!$BL$7:$BL$11</c:f>
              <c:numCache>
                <c:formatCode>General</c:formatCode>
                <c:ptCount val="5"/>
                <c:pt idx="0">
                  <c:v>4.2827241210999709</c:v>
                </c:pt>
                <c:pt idx="1">
                  <c:v>4.2804021867708872</c:v>
                </c:pt>
                <c:pt idx="2">
                  <c:v>4.2769966199501601</c:v>
                </c:pt>
                <c:pt idx="3">
                  <c:v>4.2675216578071469</c:v>
                </c:pt>
                <c:pt idx="4">
                  <c:v>4.2616680977596069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E7AE-4738-A925-718DEB0FAB01}"/>
            </c:ext>
          </c:extLst>
        </c:ser>
        <c:ser>
          <c:idx val="7"/>
          <c:order val="4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'P2'!$BB$7:$BB$11</c:f>
              <c:numCache>
                <c:formatCode>General</c:formatCode>
                <c:ptCount val="5"/>
                <c:pt idx="0">
                  <c:v>0</c:v>
                </c:pt>
                <c:pt idx="1">
                  <c:v>53.56666666666667</c:v>
                </c:pt>
                <c:pt idx="2">
                  <c:v>118.96666666666667</c:v>
                </c:pt>
                <c:pt idx="3">
                  <c:v>244.36666666666667</c:v>
                </c:pt>
                <c:pt idx="4">
                  <c:v>298.2166666666667</c:v>
                </c:pt>
              </c:numCache>
            </c:numRef>
          </c:xVal>
          <c:yVal>
            <c:numRef>
              <c:f>'P2'!$BM$7:$BM$11</c:f>
              <c:numCache>
                <c:formatCode>General</c:formatCode>
                <c:ptCount val="5"/>
                <c:pt idx="0">
                  <c:v>4.2833063501912125</c:v>
                </c:pt>
                <c:pt idx="1">
                  <c:v>4.2815529437361466</c:v>
                </c:pt>
                <c:pt idx="2">
                  <c:v>4.2785568651507271</c:v>
                </c:pt>
                <c:pt idx="3">
                  <c:v>4.2684379155610186</c:v>
                </c:pt>
                <c:pt idx="4">
                  <c:v>4.2628141990056321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E7AE-4738-A925-718DEB0FAB01}"/>
            </c:ext>
          </c:extLst>
        </c:ser>
        <c:ser>
          <c:idx val="0"/>
          <c:order val="5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'P1'!$B$7:$B$14</c:f>
              <c:numCache>
                <c:formatCode>0.00</c:formatCode>
                <c:ptCount val="8"/>
                <c:pt idx="0">
                  <c:v>0</c:v>
                </c:pt>
                <c:pt idx="1">
                  <c:v>25.5</c:v>
                </c:pt>
                <c:pt idx="2">
                  <c:v>71.599999999999994</c:v>
                </c:pt>
                <c:pt idx="3">
                  <c:v>95.88333333333334</c:v>
                </c:pt>
                <c:pt idx="4">
                  <c:v>119.26666666666667</c:v>
                </c:pt>
                <c:pt idx="5">
                  <c:v>143.46666666666667</c:v>
                </c:pt>
                <c:pt idx="6">
                  <c:v>166.85</c:v>
                </c:pt>
                <c:pt idx="7">
                  <c:v>194.83333333333334</c:v>
                </c:pt>
              </c:numCache>
            </c:numRef>
          </c:xVal>
          <c:yVal>
            <c:numRef>
              <c:f>'P1'!$K$7:$K$14</c:f>
              <c:numCache>
                <c:formatCode>0.00</c:formatCode>
                <c:ptCount val="8"/>
                <c:pt idx="0">
                  <c:v>-0.28249285337295221</c:v>
                </c:pt>
                <c:pt idx="1">
                  <c:v>-0.38281198649345205</c:v>
                </c:pt>
                <c:pt idx="2">
                  <c:v>-0.56074244415568564</c:v>
                </c:pt>
                <c:pt idx="3">
                  <c:v>-0.66331419503532485</c:v>
                </c:pt>
                <c:pt idx="4">
                  <c:v>-0.7663104782604846</c:v>
                </c:pt>
                <c:pt idx="5">
                  <c:v>-0.86914683929599101</c:v>
                </c:pt>
                <c:pt idx="6">
                  <c:v>-0.96274760070971954</c:v>
                </c:pt>
                <c:pt idx="7">
                  <c:v>-1.074409120796828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E7AE-4738-A925-718DEB0FAB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5808207"/>
        <c:axId val="1306430255"/>
      </c:scatterChart>
      <c:valAx>
        <c:axId val="1305808207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6430255"/>
        <c:crosses val="autoZero"/>
        <c:crossBetween val="midCat"/>
      </c:valAx>
      <c:valAx>
        <c:axId val="1306430255"/>
        <c:scaling>
          <c:orientation val="minMax"/>
          <c:min val="1.5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5808207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Half life as</a:t>
            </a:r>
            <a:r>
              <a:rPr lang="en-US" baseline="0"/>
              <a:t> solid</a:t>
            </a:r>
            <a:r>
              <a:rPr lang="en-US"/>
              <a:t> P1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P1 solution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exp"/>
            <c:intercept val="100"/>
            <c:dispRSqr val="0"/>
            <c:dispEq val="1"/>
            <c:trendlineLbl>
              <c:layout>
                <c:manualLayout>
                  <c:x val="-5.031593967081073E-2"/>
                  <c:y val="-0.2255183107054608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exp"/>
            <c:dispRSqr val="0"/>
            <c:dispEq val="1"/>
            <c:trendlineLbl>
              <c:layout>
                <c:manualLayout>
                  <c:x val="4.205024851711444E-2"/>
                  <c:y val="-0.2092286229632480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'P1'!$B$7:$B$14</c:f>
              <c:numCache>
                <c:formatCode>0.00</c:formatCode>
                <c:ptCount val="8"/>
                <c:pt idx="0">
                  <c:v>0</c:v>
                </c:pt>
                <c:pt idx="1">
                  <c:v>25.5</c:v>
                </c:pt>
                <c:pt idx="2">
                  <c:v>71.599999999999994</c:v>
                </c:pt>
                <c:pt idx="3">
                  <c:v>95.88333333333334</c:v>
                </c:pt>
                <c:pt idx="4">
                  <c:v>119.26666666666667</c:v>
                </c:pt>
                <c:pt idx="5">
                  <c:v>143.46666666666667</c:v>
                </c:pt>
                <c:pt idx="6">
                  <c:v>166.85</c:v>
                </c:pt>
                <c:pt idx="7">
                  <c:v>194.83333333333334</c:v>
                </c:pt>
              </c:numCache>
            </c:numRef>
          </c:xVal>
          <c:yVal>
            <c:numRef>
              <c:f>'P1'!$I$7:$I$14</c:f>
              <c:numCache>
                <c:formatCode>0.00</c:formatCode>
                <c:ptCount val="8"/>
                <c:pt idx="0">
                  <c:v>100</c:v>
                </c:pt>
                <c:pt idx="1">
                  <c:v>90.454870051930826</c:v>
                </c:pt>
                <c:pt idx="2">
                  <c:v>75.710783079404436</c:v>
                </c:pt>
                <c:pt idx="3">
                  <c:v>68.329995594972203</c:v>
                </c:pt>
                <c:pt idx="4">
                  <c:v>61.642561235192552</c:v>
                </c:pt>
                <c:pt idx="5">
                  <c:v>55.618517816787836</c:v>
                </c:pt>
                <c:pt idx="6">
                  <c:v>50.648794947338786</c:v>
                </c:pt>
                <c:pt idx="7">
                  <c:v>45.297594003104329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92B-0748-8944-51B1FCCA269D}"/>
            </c:ext>
          </c:extLst>
        </c:ser>
        <c:ser>
          <c:idx val="0"/>
          <c:order val="1"/>
          <c:tx>
            <c:v>P1 solid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'P1'!$M$7:$M$13</c:f>
              <c:numCache>
                <c:formatCode>0.00</c:formatCode>
                <c:ptCount val="7"/>
                <c:pt idx="0">
                  <c:v>0</c:v>
                </c:pt>
                <c:pt idx="1">
                  <c:v>20.733333333333334</c:v>
                </c:pt>
                <c:pt idx="2">
                  <c:v>47.7</c:v>
                </c:pt>
                <c:pt idx="3">
                  <c:v>71.8</c:v>
                </c:pt>
                <c:pt idx="4">
                  <c:v>91.15</c:v>
                </c:pt>
                <c:pt idx="5">
                  <c:v>115.31666666666666</c:v>
                </c:pt>
                <c:pt idx="6">
                  <c:v>167.75</c:v>
                </c:pt>
              </c:numCache>
            </c:numRef>
          </c:xVal>
          <c:yVal>
            <c:numRef>
              <c:f>'P1'!$T$7:$T$13</c:f>
              <c:numCache>
                <c:formatCode>0.00</c:formatCode>
                <c:ptCount val="7"/>
                <c:pt idx="0">
                  <c:v>100</c:v>
                </c:pt>
                <c:pt idx="1">
                  <c:v>88.693955491755801</c:v>
                </c:pt>
                <c:pt idx="2">
                  <c:v>78.756597720558091</c:v>
                </c:pt>
                <c:pt idx="3">
                  <c:v>71.444687082774465</c:v>
                </c:pt>
                <c:pt idx="4">
                  <c:v>65.179032918384465</c:v>
                </c:pt>
                <c:pt idx="5">
                  <c:v>59.455602975378596</c:v>
                </c:pt>
                <c:pt idx="6">
                  <c:v>47.709660341610387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92B-0748-8944-51B1FCCA269D}"/>
            </c:ext>
          </c:extLst>
        </c:ser>
        <c:ser>
          <c:idx val="2"/>
          <c:order val="2"/>
          <c:tx>
            <c:v>50%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'P1'!$N$22:$N$23</c:f>
              <c:numCache>
                <c:formatCode>General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xVal>
          <c:yVal>
            <c:numRef>
              <c:f>'P1'!$O$22:$O$23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92B-0748-8944-51B1FCCA26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002576"/>
        <c:axId val="644103872"/>
      </c:scatterChart>
      <c:valAx>
        <c:axId val="644002576"/>
        <c:scaling>
          <c:orientation val="minMax"/>
          <c:max val="195"/>
          <c:min val="0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103872"/>
        <c:crosses val="autoZero"/>
        <c:crossBetween val="midCat"/>
      </c:valAx>
      <c:valAx>
        <c:axId val="644103872"/>
        <c:scaling>
          <c:orientation val="minMax"/>
          <c:max val="110"/>
          <c:min val="0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025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91296249590477774"/>
          <c:y val="0.66142098943038619"/>
          <c:w val="8.7037504818759492E-2"/>
          <c:h val="0.169816397915237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'P2'!$BR$7:$BR$11</c:f>
              <c:numCache>
                <c:formatCode>General</c:formatCode>
                <c:ptCount val="5"/>
                <c:pt idx="0">
                  <c:v>0</c:v>
                </c:pt>
                <c:pt idx="1">
                  <c:v>0.89277777777777778</c:v>
                </c:pt>
                <c:pt idx="2">
                  <c:v>1.9827777777777778</c:v>
                </c:pt>
                <c:pt idx="3">
                  <c:v>4.0727777777777776</c:v>
                </c:pt>
                <c:pt idx="4">
                  <c:v>4.9702777777777785</c:v>
                </c:pt>
              </c:numCache>
            </c:numRef>
          </c:xVal>
          <c:yVal>
            <c:numRef>
              <c:f>'P2'!$BS$7:$BS$11</c:f>
              <c:numCache>
                <c:formatCode>0.00</c:formatCode>
                <c:ptCount val="5"/>
                <c:pt idx="0">
                  <c:v>-0.32186383579687849</c:v>
                </c:pt>
                <c:pt idx="1">
                  <c:v>-0.32361724225194466</c:v>
                </c:pt>
                <c:pt idx="2">
                  <c:v>-0.32661332083736405</c:v>
                </c:pt>
                <c:pt idx="3">
                  <c:v>-0.33673227042707282</c:v>
                </c:pt>
                <c:pt idx="4">
                  <c:v>-0.34235598698245945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5-4E8A-BF39-546C5763E6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3552096"/>
        <c:axId val="1537817760"/>
      </c:scatterChart>
      <c:valAx>
        <c:axId val="1643552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7817760"/>
        <c:crosses val="autoZero"/>
        <c:crossBetween val="midCat"/>
      </c:valAx>
      <c:valAx>
        <c:axId val="1537817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3552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'P1'!$AA$7:$AA$13</c:f>
              <c:numCache>
                <c:formatCode>General</c:formatCode>
                <c:ptCount val="7"/>
                <c:pt idx="0">
                  <c:v>0</c:v>
                </c:pt>
                <c:pt idx="1">
                  <c:v>20.733333333333334</c:v>
                </c:pt>
                <c:pt idx="2">
                  <c:v>47.7</c:v>
                </c:pt>
                <c:pt idx="3">
                  <c:v>71.8</c:v>
                </c:pt>
                <c:pt idx="4">
                  <c:v>91.15</c:v>
                </c:pt>
                <c:pt idx="5">
                  <c:v>115.31666666666666</c:v>
                </c:pt>
                <c:pt idx="6">
                  <c:v>167.75</c:v>
                </c:pt>
              </c:numCache>
            </c:numRef>
          </c:xVal>
          <c:yVal>
            <c:numRef>
              <c:f>'P1'!$AB$7:$AB$13</c:f>
              <c:numCache>
                <c:formatCode>0.00</c:formatCode>
                <c:ptCount val="7"/>
                <c:pt idx="0">
                  <c:v>-0.42027458441971693</c:v>
                </c:pt>
                <c:pt idx="1">
                  <c:v>-0.54025302894127836</c:v>
                </c:pt>
                <c:pt idx="2">
                  <c:v>-0.65908271563294696</c:v>
                </c:pt>
                <c:pt idx="3">
                  <c:v>-0.75652122733026206</c:v>
                </c:pt>
                <c:pt idx="4">
                  <c:v>-0.84830693419983427</c:v>
                </c:pt>
                <c:pt idx="5">
                  <c:v>-0.94021490485951542</c:v>
                </c:pt>
                <c:pt idx="6">
                  <c:v>-1.16031087013359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03-4A5E-8EE0-BB657D139C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123280"/>
        <c:axId val="1806629856"/>
      </c:scatterChart>
      <c:valAx>
        <c:axId val="323123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6629856"/>
        <c:crosses val="autoZero"/>
        <c:crossBetween val="midCat"/>
      </c:valAx>
      <c:valAx>
        <c:axId val="180662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3123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'P3'!$AC$9:$AC$15</c:f>
              <c:numCache>
                <c:formatCode>General</c:formatCode>
                <c:ptCount val="7"/>
                <c:pt idx="0">
                  <c:v>0</c:v>
                </c:pt>
                <c:pt idx="1">
                  <c:v>19.25</c:v>
                </c:pt>
                <c:pt idx="2">
                  <c:v>51.966666666666669</c:v>
                </c:pt>
                <c:pt idx="3">
                  <c:v>73.166666666666671</c:v>
                </c:pt>
                <c:pt idx="4">
                  <c:v>96.63333333333334</c:v>
                </c:pt>
                <c:pt idx="5">
                  <c:v>120.76666666666667</c:v>
                </c:pt>
                <c:pt idx="6">
                  <c:v>144.15</c:v>
                </c:pt>
              </c:numCache>
            </c:numRef>
          </c:xVal>
          <c:yVal>
            <c:numRef>
              <c:f>'P3'!$AD$9:$AD$15</c:f>
              <c:numCache>
                <c:formatCode>0.00</c:formatCode>
                <c:ptCount val="7"/>
                <c:pt idx="0">
                  <c:v>-0.34570540357306978</c:v>
                </c:pt>
                <c:pt idx="1">
                  <c:v>-0.51919859604164786</c:v>
                </c:pt>
                <c:pt idx="2">
                  <c:v>-0.94524017494690271</c:v>
                </c:pt>
                <c:pt idx="3">
                  <c:v>-1.160698704374852</c:v>
                </c:pt>
                <c:pt idx="4">
                  <c:v>-1.3767151060567129</c:v>
                </c:pt>
                <c:pt idx="5">
                  <c:v>-1.4771684120728823</c:v>
                </c:pt>
                <c:pt idx="6">
                  <c:v>-1.5404256235149245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6A-4E16-8151-3AF1D483AF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519264"/>
        <c:axId val="1804760464"/>
      </c:scatterChart>
      <c:valAx>
        <c:axId val="464519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4760464"/>
        <c:crosses val="autoZero"/>
        <c:crossBetween val="midCat"/>
      </c:valAx>
      <c:valAx>
        <c:axId val="180476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519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'P4'!$AC$6:$AC$12</c:f>
              <c:numCache>
                <c:formatCode>General</c:formatCode>
                <c:ptCount val="7"/>
                <c:pt idx="0">
                  <c:v>0</c:v>
                </c:pt>
                <c:pt idx="1">
                  <c:v>19.25</c:v>
                </c:pt>
                <c:pt idx="2">
                  <c:v>51.966666666666669</c:v>
                </c:pt>
                <c:pt idx="3">
                  <c:v>73.166666666666671</c:v>
                </c:pt>
                <c:pt idx="4">
                  <c:v>96.466666666666669</c:v>
                </c:pt>
                <c:pt idx="5">
                  <c:v>120.76666666666667</c:v>
                </c:pt>
                <c:pt idx="6">
                  <c:v>144.15</c:v>
                </c:pt>
              </c:numCache>
            </c:numRef>
          </c:xVal>
          <c:yVal>
            <c:numRef>
              <c:f>'P4'!$AD$6:$AD$12</c:f>
              <c:numCache>
                <c:formatCode>0.00</c:formatCode>
                <c:ptCount val="7"/>
                <c:pt idx="0">
                  <c:v>-0.21643699358157381</c:v>
                </c:pt>
                <c:pt idx="1">
                  <c:v>-0.39526857232468082</c:v>
                </c:pt>
                <c:pt idx="2">
                  <c:v>-0.80175107909200194</c:v>
                </c:pt>
                <c:pt idx="3">
                  <c:v>-0.97625127607419104</c:v>
                </c:pt>
                <c:pt idx="4">
                  <c:v>-1.1201335247954354</c:v>
                </c:pt>
                <c:pt idx="5">
                  <c:v>-1.2714184070068479</c:v>
                </c:pt>
                <c:pt idx="6">
                  <c:v>-1.3577357721243226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0C-4FFC-93CA-B87D178039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540960"/>
        <c:axId val="1723627152"/>
      </c:scatterChart>
      <c:valAx>
        <c:axId val="327540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3627152"/>
        <c:crosses val="autoZero"/>
        <c:crossBetween val="midCat"/>
      </c:valAx>
      <c:valAx>
        <c:axId val="1723627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540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'P1'!$AA$7:$AA$13</c:f>
              <c:numCache>
                <c:formatCode>General</c:formatCode>
                <c:ptCount val="7"/>
                <c:pt idx="0">
                  <c:v>0</c:v>
                </c:pt>
                <c:pt idx="1">
                  <c:v>20.733333333333334</c:v>
                </c:pt>
                <c:pt idx="2">
                  <c:v>47.7</c:v>
                </c:pt>
                <c:pt idx="3">
                  <c:v>71.8</c:v>
                </c:pt>
                <c:pt idx="4">
                  <c:v>91.15</c:v>
                </c:pt>
                <c:pt idx="5">
                  <c:v>115.31666666666666</c:v>
                </c:pt>
                <c:pt idx="6">
                  <c:v>167.75</c:v>
                </c:pt>
              </c:numCache>
            </c:numRef>
          </c:xVal>
          <c:yVal>
            <c:numRef>
              <c:f>'P1'!$AB$7:$AB$13</c:f>
              <c:numCache>
                <c:formatCode>0.00</c:formatCode>
                <c:ptCount val="7"/>
                <c:pt idx="0">
                  <c:v>-0.42027458441971693</c:v>
                </c:pt>
                <c:pt idx="1">
                  <c:v>-0.54025302894127836</c:v>
                </c:pt>
                <c:pt idx="2">
                  <c:v>-0.65908271563294696</c:v>
                </c:pt>
                <c:pt idx="3">
                  <c:v>-0.75652122733026206</c:v>
                </c:pt>
                <c:pt idx="4">
                  <c:v>-0.84830693419983427</c:v>
                </c:pt>
                <c:pt idx="5">
                  <c:v>-0.94021490485951542</c:v>
                </c:pt>
                <c:pt idx="6">
                  <c:v>-1.16031087013359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8285-47C0-A7C8-60C873686E37}"/>
            </c:ext>
          </c:extLst>
        </c:ser>
        <c:ser>
          <c:idx val="2"/>
          <c:order val="1"/>
          <c:spPr>
            <a:ln w="19050" cap="rnd">
              <a:noFill/>
              <a:round/>
            </a:ln>
            <a:effectLst/>
          </c:spPr>
          <c:xVal>
            <c:numRef>
              <c:f>'P2'!$BR$7:$BR$11</c:f>
              <c:numCache>
                <c:formatCode>General</c:formatCode>
                <c:ptCount val="5"/>
                <c:pt idx="0">
                  <c:v>0</c:v>
                </c:pt>
                <c:pt idx="1">
                  <c:v>0.89277777777777778</c:v>
                </c:pt>
                <c:pt idx="2">
                  <c:v>1.9827777777777778</c:v>
                </c:pt>
                <c:pt idx="3">
                  <c:v>4.0727777777777776</c:v>
                </c:pt>
                <c:pt idx="4">
                  <c:v>4.9702777777777785</c:v>
                </c:pt>
              </c:numCache>
            </c:numRef>
          </c:xVal>
          <c:yVal>
            <c:numRef>
              <c:f>'P2'!$BS$7:$BS$11</c:f>
              <c:numCache>
                <c:formatCode>0.00</c:formatCode>
                <c:ptCount val="5"/>
                <c:pt idx="0">
                  <c:v>-0.32186383579687849</c:v>
                </c:pt>
                <c:pt idx="1">
                  <c:v>-0.32361724225194466</c:v>
                </c:pt>
                <c:pt idx="2">
                  <c:v>-0.32661332083736405</c:v>
                </c:pt>
                <c:pt idx="3">
                  <c:v>-0.33673227042707282</c:v>
                </c:pt>
                <c:pt idx="4">
                  <c:v>-0.34235598698245945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8285-47C0-A7C8-60C873686E37}"/>
            </c:ext>
          </c:extLst>
        </c:ser>
        <c:ser>
          <c:idx val="3"/>
          <c:order val="2"/>
          <c:spPr>
            <a:ln w="19050" cap="rnd">
              <a:noFill/>
              <a:round/>
            </a:ln>
            <a:effectLst/>
          </c:spPr>
          <c:trendline>
            <c:trendlineType val="linear"/>
            <c:dispRSqr val="0"/>
            <c:dispEq val="0"/>
          </c:trendline>
          <c:xVal>
            <c:numRef>
              <c:f>'P3'!$AC$9:$AC$15</c:f>
              <c:numCache>
                <c:formatCode>General</c:formatCode>
                <c:ptCount val="7"/>
                <c:pt idx="0">
                  <c:v>0</c:v>
                </c:pt>
                <c:pt idx="1">
                  <c:v>19.25</c:v>
                </c:pt>
                <c:pt idx="2">
                  <c:v>51.966666666666669</c:v>
                </c:pt>
                <c:pt idx="3">
                  <c:v>73.166666666666671</c:v>
                </c:pt>
                <c:pt idx="4">
                  <c:v>96.63333333333334</c:v>
                </c:pt>
                <c:pt idx="5">
                  <c:v>120.76666666666667</c:v>
                </c:pt>
                <c:pt idx="6">
                  <c:v>144.15</c:v>
                </c:pt>
              </c:numCache>
            </c:numRef>
          </c:xVal>
          <c:yVal>
            <c:numRef>
              <c:f>'P3'!$AD$9:$AD$15</c:f>
              <c:numCache>
                <c:formatCode>0.00</c:formatCode>
                <c:ptCount val="7"/>
                <c:pt idx="0">
                  <c:v>-0.34570540357306978</c:v>
                </c:pt>
                <c:pt idx="1">
                  <c:v>-0.51919859604164786</c:v>
                </c:pt>
                <c:pt idx="2">
                  <c:v>-0.94524017494690271</c:v>
                </c:pt>
                <c:pt idx="3">
                  <c:v>-1.160698704374852</c:v>
                </c:pt>
                <c:pt idx="4">
                  <c:v>-1.3767151060567129</c:v>
                </c:pt>
                <c:pt idx="5">
                  <c:v>-1.4771684120728823</c:v>
                </c:pt>
                <c:pt idx="6">
                  <c:v>-1.5404256235149245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8285-47C0-A7C8-60C873686E37}"/>
            </c:ext>
          </c:extLst>
        </c:ser>
        <c:ser>
          <c:idx val="0"/>
          <c:order val="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'P4'!$AC$6:$AC$12</c:f>
              <c:numCache>
                <c:formatCode>General</c:formatCode>
                <c:ptCount val="7"/>
                <c:pt idx="0">
                  <c:v>0</c:v>
                </c:pt>
                <c:pt idx="1">
                  <c:v>19.25</c:v>
                </c:pt>
                <c:pt idx="2">
                  <c:v>51.966666666666669</c:v>
                </c:pt>
                <c:pt idx="3">
                  <c:v>73.166666666666671</c:v>
                </c:pt>
                <c:pt idx="4">
                  <c:v>96.466666666666669</c:v>
                </c:pt>
                <c:pt idx="5">
                  <c:v>120.76666666666667</c:v>
                </c:pt>
                <c:pt idx="6">
                  <c:v>144.15</c:v>
                </c:pt>
              </c:numCache>
            </c:numRef>
          </c:xVal>
          <c:yVal>
            <c:numRef>
              <c:f>'P4'!$AD$6:$AD$12</c:f>
              <c:numCache>
                <c:formatCode>0.00</c:formatCode>
                <c:ptCount val="7"/>
                <c:pt idx="0">
                  <c:v>-0.21643699358157381</c:v>
                </c:pt>
                <c:pt idx="1">
                  <c:v>-0.39526857232468082</c:v>
                </c:pt>
                <c:pt idx="2">
                  <c:v>-0.80175107909200194</c:v>
                </c:pt>
                <c:pt idx="3">
                  <c:v>-0.97625127607419104</c:v>
                </c:pt>
                <c:pt idx="4">
                  <c:v>-1.1201335247954354</c:v>
                </c:pt>
                <c:pt idx="5">
                  <c:v>-1.2714184070068479</c:v>
                </c:pt>
                <c:pt idx="6">
                  <c:v>-1.3577357721243226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8285-47C0-A7C8-60C873686E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540960"/>
        <c:axId val="1723627152"/>
      </c:scatterChart>
      <c:valAx>
        <c:axId val="327540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3627152"/>
        <c:crosses val="autoZero"/>
        <c:crossBetween val="midCat"/>
      </c:valAx>
      <c:valAx>
        <c:axId val="1723627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540960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'P5'!$S$6:$S$15</c:f>
              <c:numCache>
                <c:formatCode>0.0</c:formatCode>
                <c:ptCount val="10"/>
                <c:pt idx="0">
                  <c:v>0</c:v>
                </c:pt>
                <c:pt idx="1">
                  <c:v>22.616666666666667</c:v>
                </c:pt>
                <c:pt idx="2">
                  <c:v>92.7</c:v>
                </c:pt>
                <c:pt idx="3">
                  <c:v>117.91666666666667</c:v>
                </c:pt>
                <c:pt idx="4">
                  <c:v>140.94999999999999</c:v>
                </c:pt>
                <c:pt idx="5">
                  <c:v>186.25</c:v>
                </c:pt>
                <c:pt idx="6">
                  <c:v>257.31666666666666</c:v>
                </c:pt>
                <c:pt idx="7">
                  <c:v>280.55</c:v>
                </c:pt>
                <c:pt idx="8">
                  <c:v>305.46666666666664</c:v>
                </c:pt>
                <c:pt idx="9">
                  <c:v>329.21666666666664</c:v>
                </c:pt>
              </c:numCache>
            </c:numRef>
          </c:xVal>
          <c:yVal>
            <c:numRef>
              <c:f>'P5'!$T$6:$T$15</c:f>
              <c:numCache>
                <c:formatCode>General</c:formatCode>
                <c:ptCount val="10"/>
                <c:pt idx="0">
                  <c:v>-3.5526402838962155E-2</c:v>
                </c:pt>
                <c:pt idx="1">
                  <c:v>-0.19750770745074656</c:v>
                </c:pt>
                <c:pt idx="2">
                  <c:v>-0.64810165913626028</c:v>
                </c:pt>
                <c:pt idx="3">
                  <c:v>-0.80147430500983396</c:v>
                </c:pt>
                <c:pt idx="4">
                  <c:v>-0.93856982027625824</c:v>
                </c:pt>
                <c:pt idx="5">
                  <c:v>-1.1953810364633022</c:v>
                </c:pt>
                <c:pt idx="6">
                  <c:v>-1.5527574201092289</c:v>
                </c:pt>
                <c:pt idx="7">
                  <c:v>-1.6901278161775017</c:v>
                </c:pt>
                <c:pt idx="8">
                  <c:v>-1.8139384827073721</c:v>
                </c:pt>
                <c:pt idx="9">
                  <c:v>-1.8933802334325942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14-474D-ADD0-6E76C9B577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525360"/>
        <c:axId val="596035936"/>
      </c:scatterChart>
      <c:valAx>
        <c:axId val="327525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035936"/>
        <c:crosses val="autoZero"/>
        <c:crossBetween val="midCat"/>
      </c:valAx>
      <c:valAx>
        <c:axId val="596035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525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'P6'!$Q$5:$Q$14</c:f>
              <c:numCache>
                <c:formatCode>0.0</c:formatCode>
                <c:ptCount val="10"/>
                <c:pt idx="0">
                  <c:v>0</c:v>
                </c:pt>
                <c:pt idx="1">
                  <c:v>22.633333333333333</c:v>
                </c:pt>
                <c:pt idx="2">
                  <c:v>92.7</c:v>
                </c:pt>
                <c:pt idx="3">
                  <c:v>117.93333333333334</c:v>
                </c:pt>
                <c:pt idx="4">
                  <c:v>140.96666666666667</c:v>
                </c:pt>
                <c:pt idx="5">
                  <c:v>186.26666666666668</c:v>
                </c:pt>
                <c:pt idx="6">
                  <c:v>257.31666666666666</c:v>
                </c:pt>
                <c:pt idx="7">
                  <c:v>280.55</c:v>
                </c:pt>
                <c:pt idx="8">
                  <c:v>305.46666666666664</c:v>
                </c:pt>
                <c:pt idx="9">
                  <c:v>329.23333333333335</c:v>
                </c:pt>
              </c:numCache>
            </c:numRef>
          </c:xVal>
          <c:yVal>
            <c:numRef>
              <c:f>'P6'!$R$5:$R$14</c:f>
              <c:numCache>
                <c:formatCode>General</c:formatCode>
                <c:ptCount val="10"/>
                <c:pt idx="0">
                  <c:v>-3.1689475922472093E-2</c:v>
                </c:pt>
                <c:pt idx="1">
                  <c:v>-0.16437133704647225</c:v>
                </c:pt>
                <c:pt idx="2">
                  <c:v>-0.54787963414547003</c:v>
                </c:pt>
                <c:pt idx="3">
                  <c:v>-0.68182252931266574</c:v>
                </c:pt>
                <c:pt idx="4">
                  <c:v>-0.79936589705527483</c:v>
                </c:pt>
                <c:pt idx="5">
                  <c:v>-1.0237622804173871</c:v>
                </c:pt>
                <c:pt idx="6">
                  <c:v>-1.3430384700267168</c:v>
                </c:pt>
                <c:pt idx="7">
                  <c:v>-1.4416017337869032</c:v>
                </c:pt>
                <c:pt idx="8">
                  <c:v>-1.547013292220077</c:v>
                </c:pt>
                <c:pt idx="9">
                  <c:v>-1.6353869953178883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24-4BB7-A546-9179ECE0B8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2544848"/>
        <c:axId val="1410248736"/>
      </c:scatterChart>
      <c:valAx>
        <c:axId val="1542544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0248736"/>
        <c:crosses val="autoZero"/>
        <c:crossBetween val="midCat"/>
      </c:valAx>
      <c:valAx>
        <c:axId val="1410248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2544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Half life as</a:t>
            </a:r>
            <a:r>
              <a:rPr lang="en-US" baseline="0"/>
              <a:t> solid</a:t>
            </a:r>
            <a:r>
              <a:rPr lang="en-US"/>
              <a:t> P1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P1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'P1'!$B$7:$B$14</c:f>
              <c:numCache>
                <c:formatCode>0.00</c:formatCode>
                <c:ptCount val="8"/>
                <c:pt idx="0">
                  <c:v>0</c:v>
                </c:pt>
                <c:pt idx="1">
                  <c:v>25.5</c:v>
                </c:pt>
                <c:pt idx="2">
                  <c:v>71.599999999999994</c:v>
                </c:pt>
                <c:pt idx="3">
                  <c:v>95.88333333333334</c:v>
                </c:pt>
                <c:pt idx="4">
                  <c:v>119.26666666666667</c:v>
                </c:pt>
                <c:pt idx="5">
                  <c:v>143.46666666666667</c:v>
                </c:pt>
                <c:pt idx="6">
                  <c:v>166.85</c:v>
                </c:pt>
                <c:pt idx="7">
                  <c:v>194.83333333333334</c:v>
                </c:pt>
              </c:numCache>
            </c:numRef>
          </c:xVal>
          <c:yVal>
            <c:numRef>
              <c:f>'P1'!$I$7:$I$14</c:f>
              <c:numCache>
                <c:formatCode>0.00</c:formatCode>
                <c:ptCount val="8"/>
                <c:pt idx="0">
                  <c:v>100</c:v>
                </c:pt>
                <c:pt idx="1">
                  <c:v>90.454870051930826</c:v>
                </c:pt>
                <c:pt idx="2">
                  <c:v>75.710783079404436</c:v>
                </c:pt>
                <c:pt idx="3">
                  <c:v>68.329995594972203</c:v>
                </c:pt>
                <c:pt idx="4">
                  <c:v>61.642561235192552</c:v>
                </c:pt>
                <c:pt idx="5">
                  <c:v>55.618517816787836</c:v>
                </c:pt>
                <c:pt idx="6">
                  <c:v>50.648794947338786</c:v>
                </c:pt>
                <c:pt idx="7">
                  <c:v>45.297594003104329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20-46D6-8019-66A0AF25FCE3}"/>
            </c:ext>
          </c:extLst>
        </c:ser>
        <c:ser>
          <c:idx val="5"/>
          <c:order val="1"/>
          <c:tx>
            <c:v>P2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xVal>
            <c:numRef>
              <c:f>'P2'!$M$8:$M$14</c:f>
              <c:numCache>
                <c:formatCode>General</c:formatCode>
                <c:ptCount val="7"/>
                <c:pt idx="0">
                  <c:v>0</c:v>
                </c:pt>
                <c:pt idx="1">
                  <c:v>23.75</c:v>
                </c:pt>
                <c:pt idx="2">
                  <c:v>48.4</c:v>
                </c:pt>
                <c:pt idx="3">
                  <c:v>68.683333333333337</c:v>
                </c:pt>
                <c:pt idx="4">
                  <c:v>96.933333333333337</c:v>
                </c:pt>
                <c:pt idx="5">
                  <c:v>117.73333333333333</c:v>
                </c:pt>
                <c:pt idx="6">
                  <c:v>146.88333333333333</c:v>
                </c:pt>
              </c:numCache>
            </c:numRef>
          </c:xVal>
          <c:yVal>
            <c:numRef>
              <c:f>'P2'!$V$8:$V$14</c:f>
              <c:numCache>
                <c:formatCode>General</c:formatCode>
                <c:ptCount val="7"/>
                <c:pt idx="0">
                  <c:v>100</c:v>
                </c:pt>
                <c:pt idx="1">
                  <c:v>69.752081063902409</c:v>
                </c:pt>
                <c:pt idx="2">
                  <c:v>51.48014584308379</c:v>
                </c:pt>
                <c:pt idx="3">
                  <c:v>42.503009444238941</c:v>
                </c:pt>
                <c:pt idx="4">
                  <c:v>32.34498551992364</c:v>
                </c:pt>
                <c:pt idx="5">
                  <c:v>22.451465686204383</c:v>
                </c:pt>
                <c:pt idx="6">
                  <c:v>18.784368466338165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E20-46D6-8019-66A0AF25FCE3}"/>
            </c:ext>
          </c:extLst>
        </c:ser>
        <c:ser>
          <c:idx val="4"/>
          <c:order val="2"/>
          <c:tx>
            <c:v>P3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xVal>
            <c:numRef>
              <c:f>'P3'!$D$9:$D$16</c:f>
              <c:numCache>
                <c:formatCode>0.00</c:formatCode>
                <c:ptCount val="8"/>
                <c:pt idx="0" formatCode="General">
                  <c:v>-2</c:v>
                </c:pt>
                <c:pt idx="1">
                  <c:v>0</c:v>
                </c:pt>
                <c:pt idx="2">
                  <c:v>25.733333333333334</c:v>
                </c:pt>
                <c:pt idx="3">
                  <c:v>48.383333333333333</c:v>
                </c:pt>
                <c:pt idx="4">
                  <c:v>71.45</c:v>
                </c:pt>
                <c:pt idx="5">
                  <c:v>142.08333333333334</c:v>
                </c:pt>
                <c:pt idx="6">
                  <c:v>167.45</c:v>
                </c:pt>
                <c:pt idx="7">
                  <c:v>192.65</c:v>
                </c:pt>
              </c:numCache>
            </c:numRef>
          </c:xVal>
          <c:yVal>
            <c:numRef>
              <c:f>'P3'!$K$9:$K$16</c:f>
              <c:numCache>
                <c:formatCode>0.00</c:formatCode>
                <c:ptCount val="8"/>
                <c:pt idx="0" formatCode="General">
                  <c:v>6.785144017121354</c:v>
                </c:pt>
                <c:pt idx="1">
                  <c:v>100</c:v>
                </c:pt>
                <c:pt idx="2">
                  <c:v>81.608930155931986</c:v>
                </c:pt>
                <c:pt idx="3">
                  <c:v>67.929849526471244</c:v>
                </c:pt>
                <c:pt idx="4">
                  <c:v>56.297535854361222</c:v>
                </c:pt>
                <c:pt idx="5">
                  <c:v>35.523106246596534</c:v>
                </c:pt>
                <c:pt idx="6">
                  <c:v>30.978201949780086</c:v>
                </c:pt>
                <c:pt idx="7">
                  <c:v>27.64604313299921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E20-46D6-8019-66A0AF25FCE3}"/>
            </c:ext>
          </c:extLst>
        </c:ser>
        <c:ser>
          <c:idx val="0"/>
          <c:order val="3"/>
          <c:tx>
            <c:v>P4</c:v>
          </c:tx>
          <c:xVal>
            <c:numRef>
              <c:f>'P4'!$C$6:$C$13</c:f>
              <c:numCache>
                <c:formatCode>0.00</c:formatCode>
                <c:ptCount val="8"/>
                <c:pt idx="0" formatCode="General">
                  <c:v>-2</c:v>
                </c:pt>
                <c:pt idx="1">
                  <c:v>0</c:v>
                </c:pt>
                <c:pt idx="2">
                  <c:v>22.933333333333334</c:v>
                </c:pt>
                <c:pt idx="3">
                  <c:v>47.383333333333333</c:v>
                </c:pt>
                <c:pt idx="4">
                  <c:v>67.86666666666666</c:v>
                </c:pt>
                <c:pt idx="5">
                  <c:v>96.2</c:v>
                </c:pt>
                <c:pt idx="6">
                  <c:v>164.91666666666666</c:v>
                </c:pt>
                <c:pt idx="7">
                  <c:v>194.06666666666666</c:v>
                </c:pt>
              </c:numCache>
            </c:numRef>
          </c:xVal>
          <c:yVal>
            <c:numRef>
              <c:f>'P4'!$J$6:$J$13</c:f>
              <c:numCache>
                <c:formatCode>0.00</c:formatCode>
                <c:ptCount val="8"/>
                <c:pt idx="0" formatCode="General">
                  <c:v>5.8913545502119042</c:v>
                </c:pt>
                <c:pt idx="1">
                  <c:v>100</c:v>
                </c:pt>
                <c:pt idx="2">
                  <c:v>83.474096203116716</c:v>
                </c:pt>
                <c:pt idx="3">
                  <c:v>68.920378251875931</c:v>
                </c:pt>
                <c:pt idx="4">
                  <c:v>58.932484479071626</c:v>
                </c:pt>
                <c:pt idx="5">
                  <c:v>47.66322606022861</c:v>
                </c:pt>
                <c:pt idx="6">
                  <c:v>30.144156205614216</c:v>
                </c:pt>
                <c:pt idx="7">
                  <c:v>25.261571130848431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E20-46D6-8019-66A0AF25FCE3}"/>
            </c:ext>
          </c:extLst>
        </c:ser>
        <c:ser>
          <c:idx val="2"/>
          <c:order val="4"/>
          <c:tx>
            <c:v>50% charged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xVal>
            <c:numRef>
              <c:f>'[1]T 0.5 (P2+P4)'!$X$7:$X$8</c:f>
              <c:numCache>
                <c:formatCode>General</c:formatCode>
                <c:ptCount val="2"/>
                <c:pt idx="0">
                  <c:v>0</c:v>
                </c:pt>
                <c:pt idx="1">
                  <c:v>11700</c:v>
                </c:pt>
              </c:numCache>
            </c:numRef>
          </c:xVal>
          <c:yVal>
            <c:numRef>
              <c:f>'[1]T 0.5 (P2+P4)'!$Y$7:$Y$8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E20-46D6-8019-66A0AF25FCE3}"/>
            </c:ext>
          </c:extLst>
        </c:ser>
        <c:ser>
          <c:idx val="3"/>
          <c:order val="5"/>
          <c:tx>
            <c:v>25% charged</c:v>
          </c:tx>
          <c:spPr>
            <a:ln w="25400">
              <a:solidFill>
                <a:schemeClr val="tx1"/>
              </a:solidFill>
              <a:prstDash val="dashDot"/>
            </a:ln>
          </c:spPr>
          <c:xVal>
            <c:numRef>
              <c:f>'[1]T 0.5 (P2+P4)'!$X$9:$X$10</c:f>
              <c:numCache>
                <c:formatCode>General</c:formatCode>
                <c:ptCount val="2"/>
                <c:pt idx="0">
                  <c:v>0</c:v>
                </c:pt>
                <c:pt idx="1">
                  <c:v>11700</c:v>
                </c:pt>
              </c:numCache>
            </c:numRef>
          </c:xVal>
          <c:yVal>
            <c:numRef>
              <c:f>'[1]T 0.5 (P2+P4)'!$Y$9:$Y$10</c:f>
              <c:numCache>
                <c:formatCode>General</c:formatCode>
                <c:ptCount val="2"/>
                <c:pt idx="0">
                  <c:v>25</c:v>
                </c:pt>
                <c:pt idx="1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E20-46D6-8019-66A0AF25F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002576"/>
        <c:axId val="644103872"/>
      </c:scatterChart>
      <c:valAx>
        <c:axId val="644002576"/>
        <c:scaling>
          <c:orientation val="minMax"/>
          <c:max val="195"/>
          <c:min val="0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103872"/>
        <c:crosses val="autoZero"/>
        <c:crossBetween val="midCat"/>
      </c:valAx>
      <c:valAx>
        <c:axId val="644103872"/>
        <c:scaling>
          <c:orientation val="minMax"/>
          <c:max val="110"/>
          <c:min val="0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025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91296249590477774"/>
          <c:y val="0.66142098943038619"/>
          <c:w val="8.7037504818759492E-2"/>
          <c:h val="0.169816397915237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5555235062403193E-2"/>
          <c:y val="0.10056352432030546"/>
          <c:w val="0.96394097761461972"/>
          <c:h val="0.8559562680745807"/>
        </c:manualLayout>
      </c:layout>
      <c:scatterChart>
        <c:scatterStyle val="lineMarker"/>
        <c:varyColors val="0"/>
        <c:ser>
          <c:idx val="1"/>
          <c:order val="0"/>
          <c:marker>
            <c:symbol val="none"/>
          </c:marker>
          <c:xVal>
            <c:numRef>
              <c:f>'P4'!$C$7:$C$13</c:f>
              <c:numCache>
                <c:formatCode>0.00</c:formatCode>
                <c:ptCount val="7"/>
                <c:pt idx="0">
                  <c:v>0</c:v>
                </c:pt>
                <c:pt idx="1">
                  <c:v>22.933333333333334</c:v>
                </c:pt>
                <c:pt idx="2">
                  <c:v>47.383333333333333</c:v>
                </c:pt>
                <c:pt idx="3">
                  <c:v>67.86666666666666</c:v>
                </c:pt>
                <c:pt idx="4">
                  <c:v>96.2</c:v>
                </c:pt>
                <c:pt idx="5">
                  <c:v>164.91666666666666</c:v>
                </c:pt>
                <c:pt idx="6">
                  <c:v>194.06666666666666</c:v>
                </c:pt>
              </c:numCache>
            </c:numRef>
          </c:xVal>
          <c:yVal>
            <c:numRef>
              <c:f>'P4'!$K$7:$K$13</c:f>
              <c:numCache>
                <c:formatCode>General</c:formatCode>
                <c:ptCount val="7"/>
                <c:pt idx="0">
                  <c:v>3.0727118330371721</c:v>
                </c:pt>
                <c:pt idx="1">
                  <c:v>2.8909715779681324</c:v>
                </c:pt>
                <c:pt idx="2">
                  <c:v>2.7032453429035583</c:v>
                </c:pt>
                <c:pt idx="3">
                  <c:v>2.5450527257470803</c:v>
                </c:pt>
                <c:pt idx="4">
                  <c:v>2.338521572798351</c:v>
                </c:pt>
                <c:pt idx="5">
                  <c:v>1.8910314875453238</c:v>
                </c:pt>
                <c:pt idx="6">
                  <c:v>1.716245380750838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28-4B78-BBAB-15E5AAD8CCD9}"/>
            </c:ext>
          </c:extLst>
        </c:ser>
        <c:ser>
          <c:idx val="3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'P3'!$D$10:$D$16</c:f>
              <c:numCache>
                <c:formatCode>0.00</c:formatCode>
                <c:ptCount val="7"/>
                <c:pt idx="0">
                  <c:v>0</c:v>
                </c:pt>
                <c:pt idx="1">
                  <c:v>25.733333333333334</c:v>
                </c:pt>
                <c:pt idx="2">
                  <c:v>48.383333333333333</c:v>
                </c:pt>
                <c:pt idx="3">
                  <c:v>71.45</c:v>
                </c:pt>
                <c:pt idx="4">
                  <c:v>142.08333333333334</c:v>
                </c:pt>
                <c:pt idx="5">
                  <c:v>167.45</c:v>
                </c:pt>
                <c:pt idx="6">
                  <c:v>192.65</c:v>
                </c:pt>
              </c:numCache>
            </c:numRef>
          </c:xVal>
          <c:yVal>
            <c:numRef>
              <c:f>'P3'!$L$10:$L$16</c:f>
              <c:numCache>
                <c:formatCode>General</c:formatCode>
                <c:ptCount val="7"/>
                <c:pt idx="0">
                  <c:v>3.0820108821344148</c:v>
                </c:pt>
                <c:pt idx="1">
                  <c:v>2.8665969184675788</c:v>
                </c:pt>
                <c:pt idx="2">
                  <c:v>2.6830263669973817</c:v>
                </c:pt>
                <c:pt idx="3">
                  <c:v>2.5009850304173398</c:v>
                </c:pt>
                <c:pt idx="4">
                  <c:v>2.042362533438415</c:v>
                </c:pt>
                <c:pt idx="5">
                  <c:v>1.9046565137725386</c:v>
                </c:pt>
                <c:pt idx="6">
                  <c:v>1.7903417981404344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28-4B78-BBAB-15E5AAD8CCD9}"/>
            </c:ext>
          </c:extLst>
        </c:ser>
        <c:ser>
          <c:idx val="5"/>
          <c:order val="2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'P2'!$BB$7:$BB$11</c:f>
              <c:numCache>
                <c:formatCode>General</c:formatCode>
                <c:ptCount val="5"/>
                <c:pt idx="0">
                  <c:v>0</c:v>
                </c:pt>
                <c:pt idx="1">
                  <c:v>53.56666666666667</c:v>
                </c:pt>
                <c:pt idx="2">
                  <c:v>118.96666666666667</c:v>
                </c:pt>
                <c:pt idx="3">
                  <c:v>244.36666666666667</c:v>
                </c:pt>
                <c:pt idx="4">
                  <c:v>298.2166666666667</c:v>
                </c:pt>
              </c:numCache>
            </c:numRef>
          </c:xVal>
          <c:yVal>
            <c:numRef>
              <c:f>'P2'!$BK$7:$BK$11</c:f>
              <c:numCache>
                <c:formatCode>General</c:formatCode>
                <c:ptCount val="5"/>
                <c:pt idx="0">
                  <c:v>4.2838882404889862</c:v>
                </c:pt>
                <c:pt idx="1">
                  <c:v>4.2827023779817956</c:v>
                </c:pt>
                <c:pt idx="2">
                  <c:v>4.2801146797780065</c:v>
                </c:pt>
                <c:pt idx="3">
                  <c:v>4.2693533345550803</c:v>
                </c:pt>
                <c:pt idx="4">
                  <c:v>4.2639589882071833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628-4B78-BBAB-15E5AAD8CCD9}"/>
            </c:ext>
          </c:extLst>
        </c:ser>
        <c:ser>
          <c:idx val="6"/>
          <c:order val="3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'P2'!$BB$7:$BB$11</c:f>
              <c:numCache>
                <c:formatCode>General</c:formatCode>
                <c:ptCount val="5"/>
                <c:pt idx="0">
                  <c:v>0</c:v>
                </c:pt>
                <c:pt idx="1">
                  <c:v>53.56666666666667</c:v>
                </c:pt>
                <c:pt idx="2">
                  <c:v>118.96666666666667</c:v>
                </c:pt>
                <c:pt idx="3">
                  <c:v>244.36666666666667</c:v>
                </c:pt>
                <c:pt idx="4">
                  <c:v>298.2166666666667</c:v>
                </c:pt>
              </c:numCache>
            </c:numRef>
          </c:xVal>
          <c:yVal>
            <c:numRef>
              <c:f>'P2'!$BL$7:$BL$11</c:f>
              <c:numCache>
                <c:formatCode>General</c:formatCode>
                <c:ptCount val="5"/>
                <c:pt idx="0">
                  <c:v>4.2827241210999709</c:v>
                </c:pt>
                <c:pt idx="1">
                  <c:v>4.2804021867708872</c:v>
                </c:pt>
                <c:pt idx="2">
                  <c:v>4.2769966199501601</c:v>
                </c:pt>
                <c:pt idx="3">
                  <c:v>4.2675216578071469</c:v>
                </c:pt>
                <c:pt idx="4">
                  <c:v>4.2616680977596069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628-4B78-BBAB-15E5AAD8CCD9}"/>
            </c:ext>
          </c:extLst>
        </c:ser>
        <c:ser>
          <c:idx val="7"/>
          <c:order val="4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'P2'!$BB$7:$BB$11</c:f>
              <c:numCache>
                <c:formatCode>General</c:formatCode>
                <c:ptCount val="5"/>
                <c:pt idx="0">
                  <c:v>0</c:v>
                </c:pt>
                <c:pt idx="1">
                  <c:v>53.56666666666667</c:v>
                </c:pt>
                <c:pt idx="2">
                  <c:v>118.96666666666667</c:v>
                </c:pt>
                <c:pt idx="3">
                  <c:v>244.36666666666667</c:v>
                </c:pt>
                <c:pt idx="4">
                  <c:v>298.2166666666667</c:v>
                </c:pt>
              </c:numCache>
            </c:numRef>
          </c:xVal>
          <c:yVal>
            <c:numRef>
              <c:f>'P2'!$BM$7:$BM$11</c:f>
              <c:numCache>
                <c:formatCode>General</c:formatCode>
                <c:ptCount val="5"/>
                <c:pt idx="0">
                  <c:v>4.2833063501912125</c:v>
                </c:pt>
                <c:pt idx="1">
                  <c:v>4.2815529437361466</c:v>
                </c:pt>
                <c:pt idx="2">
                  <c:v>4.2785568651507271</c:v>
                </c:pt>
                <c:pt idx="3">
                  <c:v>4.2684379155610186</c:v>
                </c:pt>
                <c:pt idx="4">
                  <c:v>4.2628141990056321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628-4B78-BBAB-15E5AAD8CCD9}"/>
            </c:ext>
          </c:extLst>
        </c:ser>
        <c:ser>
          <c:idx val="0"/>
          <c:order val="5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'P1'!$B$7:$B$14</c:f>
              <c:numCache>
                <c:formatCode>0.00</c:formatCode>
                <c:ptCount val="8"/>
                <c:pt idx="0">
                  <c:v>0</c:v>
                </c:pt>
                <c:pt idx="1">
                  <c:v>25.5</c:v>
                </c:pt>
                <c:pt idx="2">
                  <c:v>71.599999999999994</c:v>
                </c:pt>
                <c:pt idx="3">
                  <c:v>95.88333333333334</c:v>
                </c:pt>
                <c:pt idx="4">
                  <c:v>119.26666666666667</c:v>
                </c:pt>
                <c:pt idx="5">
                  <c:v>143.46666666666667</c:v>
                </c:pt>
                <c:pt idx="6">
                  <c:v>166.85</c:v>
                </c:pt>
                <c:pt idx="7">
                  <c:v>194.83333333333334</c:v>
                </c:pt>
              </c:numCache>
            </c:numRef>
          </c:xVal>
          <c:yVal>
            <c:numRef>
              <c:f>'P1'!$K$7:$K$14</c:f>
              <c:numCache>
                <c:formatCode>0.00</c:formatCode>
                <c:ptCount val="8"/>
                <c:pt idx="0">
                  <c:v>-0.28249285337295221</c:v>
                </c:pt>
                <c:pt idx="1">
                  <c:v>-0.38281198649345205</c:v>
                </c:pt>
                <c:pt idx="2">
                  <c:v>-0.56074244415568564</c:v>
                </c:pt>
                <c:pt idx="3">
                  <c:v>-0.66331419503532485</c:v>
                </c:pt>
                <c:pt idx="4">
                  <c:v>-0.7663104782604846</c:v>
                </c:pt>
                <c:pt idx="5">
                  <c:v>-0.86914683929599101</c:v>
                </c:pt>
                <c:pt idx="6">
                  <c:v>-0.96274760070971954</c:v>
                </c:pt>
                <c:pt idx="7">
                  <c:v>-1.074409120796828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628-4B78-BBAB-15E5AAD8C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5808207"/>
        <c:axId val="1306430255"/>
      </c:scatterChart>
      <c:valAx>
        <c:axId val="1305808207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6430255"/>
        <c:crosses val="autoZero"/>
        <c:crossBetween val="midCat"/>
      </c:valAx>
      <c:valAx>
        <c:axId val="1306430255"/>
        <c:scaling>
          <c:orientation val="minMax"/>
          <c:min val="1.5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5808207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'P2'!$BR$7:$BR$11</c:f>
              <c:numCache>
                <c:formatCode>General</c:formatCode>
                <c:ptCount val="5"/>
                <c:pt idx="0">
                  <c:v>0</c:v>
                </c:pt>
                <c:pt idx="1">
                  <c:v>0.89277777777777778</c:v>
                </c:pt>
                <c:pt idx="2">
                  <c:v>1.9827777777777778</c:v>
                </c:pt>
                <c:pt idx="3">
                  <c:v>4.0727777777777776</c:v>
                </c:pt>
                <c:pt idx="4">
                  <c:v>4.9702777777777785</c:v>
                </c:pt>
              </c:numCache>
            </c:numRef>
          </c:xVal>
          <c:yVal>
            <c:numRef>
              <c:f>'P2'!$BS$7:$BS$11</c:f>
              <c:numCache>
                <c:formatCode>0.00</c:formatCode>
                <c:ptCount val="5"/>
                <c:pt idx="0">
                  <c:v>-0.32186383579687849</c:v>
                </c:pt>
                <c:pt idx="1">
                  <c:v>-0.32361724225194466</c:v>
                </c:pt>
                <c:pt idx="2">
                  <c:v>-0.32661332083736405</c:v>
                </c:pt>
                <c:pt idx="3">
                  <c:v>-0.33673227042707282</c:v>
                </c:pt>
                <c:pt idx="4">
                  <c:v>-0.34235598698245945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158-4635-AD79-EF3975CC9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3552096"/>
        <c:axId val="1537817760"/>
      </c:scatterChart>
      <c:valAx>
        <c:axId val="1643552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7817760"/>
        <c:crosses val="autoZero"/>
        <c:crossBetween val="midCat"/>
      </c:valAx>
      <c:valAx>
        <c:axId val="1537817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3552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Half life as</a:t>
            </a:r>
            <a:r>
              <a:rPr lang="en-US" baseline="0"/>
              <a:t> solid</a:t>
            </a:r>
            <a:r>
              <a:rPr lang="en-US"/>
              <a:t> P1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exp"/>
            <c:intercept val="100"/>
            <c:dispRSqr val="0"/>
            <c:dispEq val="1"/>
            <c:trendlineLbl>
              <c:layout>
                <c:manualLayout>
                  <c:x val="-5.031593967081073E-2"/>
                  <c:y val="-0.2255183107054608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exp"/>
            <c:dispRSqr val="0"/>
            <c:dispEq val="1"/>
            <c:trendlineLbl>
              <c:layout>
                <c:manualLayout>
                  <c:x val="4.205024851711444E-2"/>
                  <c:y val="-0.2092286229632480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'P1'!$B$7:$B$14</c:f>
              <c:numCache>
                <c:formatCode>0.00</c:formatCode>
                <c:ptCount val="8"/>
                <c:pt idx="0">
                  <c:v>0</c:v>
                </c:pt>
                <c:pt idx="1">
                  <c:v>25.5</c:v>
                </c:pt>
                <c:pt idx="2">
                  <c:v>71.599999999999994</c:v>
                </c:pt>
                <c:pt idx="3">
                  <c:v>95.88333333333334</c:v>
                </c:pt>
                <c:pt idx="4">
                  <c:v>119.26666666666667</c:v>
                </c:pt>
                <c:pt idx="5">
                  <c:v>143.46666666666667</c:v>
                </c:pt>
                <c:pt idx="6">
                  <c:v>166.85</c:v>
                </c:pt>
                <c:pt idx="7">
                  <c:v>194.83333333333334</c:v>
                </c:pt>
              </c:numCache>
            </c:numRef>
          </c:xVal>
          <c:yVal>
            <c:numRef>
              <c:f>'P1'!$H$7:$H$14</c:f>
              <c:numCache>
                <c:formatCode>0.00</c:formatCode>
                <c:ptCount val="8"/>
                <c:pt idx="0">
                  <c:v>75.39020297967059</c:v>
                </c:pt>
                <c:pt idx="1">
                  <c:v>68.194110137147916</c:v>
                </c:pt>
                <c:pt idx="2">
                  <c:v>57.078513041061093</c:v>
                </c:pt>
                <c:pt idx="3">
                  <c:v>51.514122375049517</c:v>
                </c:pt>
                <c:pt idx="4">
                  <c:v>46.4724520370794</c:v>
                </c:pt>
                <c:pt idx="5">
                  <c:v>41.930913476360601</c:v>
                </c:pt>
                <c:pt idx="6">
                  <c:v>38.184229317555854</c:v>
                </c:pt>
                <c:pt idx="7">
                  <c:v>34.149948063847447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D34-2545-99A9-57DC29D73155}"/>
            </c:ext>
          </c:extLst>
        </c:ser>
        <c:ser>
          <c:idx val="0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'P1'!$M$7:$M$13</c:f>
              <c:numCache>
                <c:formatCode>0.00</c:formatCode>
                <c:ptCount val="7"/>
                <c:pt idx="0">
                  <c:v>0</c:v>
                </c:pt>
                <c:pt idx="1">
                  <c:v>20.733333333333334</c:v>
                </c:pt>
                <c:pt idx="2">
                  <c:v>47.7</c:v>
                </c:pt>
                <c:pt idx="3">
                  <c:v>71.8</c:v>
                </c:pt>
                <c:pt idx="4">
                  <c:v>91.15</c:v>
                </c:pt>
                <c:pt idx="5">
                  <c:v>115.31666666666666</c:v>
                </c:pt>
                <c:pt idx="6">
                  <c:v>167.75</c:v>
                </c:pt>
              </c:numCache>
            </c:numRef>
          </c:xVal>
          <c:yVal>
            <c:numRef>
              <c:f>'P1'!$S$7:$S$13</c:f>
              <c:numCache>
                <c:formatCode>0.00</c:formatCode>
                <c:ptCount val="7"/>
                <c:pt idx="0">
                  <c:v>65.686642976259336</c:v>
                </c:pt>
                <c:pt idx="1">
                  <c:v>58.260081885391998</c:v>
                </c:pt>
                <c:pt idx="2">
                  <c:v>51.732565164951794</c:v>
                </c:pt>
                <c:pt idx="3">
                  <c:v>46.929616529567738</c:v>
                </c:pt>
                <c:pt idx="4">
                  <c:v>42.813918648477745</c:v>
                </c:pt>
                <c:pt idx="5">
                  <c:v>39.054389655819165</c:v>
                </c:pt>
                <c:pt idx="6">
                  <c:v>31.338874253779604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D34-2545-99A9-57DC29D731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002576"/>
        <c:axId val="644103872"/>
      </c:scatterChart>
      <c:valAx>
        <c:axId val="644002576"/>
        <c:scaling>
          <c:orientation val="minMax"/>
          <c:max val="195"/>
          <c:min val="0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103872"/>
        <c:crosses val="autoZero"/>
        <c:crossBetween val="midCat"/>
      </c:valAx>
      <c:valAx>
        <c:axId val="644103872"/>
        <c:scaling>
          <c:orientation val="minMax"/>
          <c:max val="110"/>
          <c:min val="0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025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91296249590477774"/>
          <c:y val="0.66142098943038619"/>
          <c:w val="8.7037504818759492E-2"/>
          <c:h val="0.169816397915237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323123280"/>
        <c:axId val="1806629856"/>
      </c:scatterChart>
      <c:valAx>
        <c:axId val="323123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6629856"/>
        <c:crosses val="autoZero"/>
        <c:crossBetween val="midCat"/>
      </c:valAx>
      <c:valAx>
        <c:axId val="180662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3123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553276489112841"/>
                  <c:y val="0.127085528041852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'P3'!$AC$9:$AC$15</c:f>
              <c:numCache>
                <c:formatCode>General</c:formatCode>
                <c:ptCount val="7"/>
                <c:pt idx="0">
                  <c:v>0</c:v>
                </c:pt>
                <c:pt idx="1">
                  <c:v>19.25</c:v>
                </c:pt>
                <c:pt idx="2">
                  <c:v>51.966666666666669</c:v>
                </c:pt>
                <c:pt idx="3">
                  <c:v>73.166666666666671</c:v>
                </c:pt>
                <c:pt idx="4">
                  <c:v>96.63333333333334</c:v>
                </c:pt>
                <c:pt idx="5">
                  <c:v>120.76666666666667</c:v>
                </c:pt>
                <c:pt idx="6">
                  <c:v>144.15</c:v>
                </c:pt>
              </c:numCache>
            </c:numRef>
          </c:xVal>
          <c:yVal>
            <c:numRef>
              <c:f>'P3'!$AD$9:$AD$15</c:f>
              <c:numCache>
                <c:formatCode>0.00</c:formatCode>
                <c:ptCount val="7"/>
                <c:pt idx="0">
                  <c:v>-0.34570540357306978</c:v>
                </c:pt>
                <c:pt idx="1">
                  <c:v>-0.51919859604164786</c:v>
                </c:pt>
                <c:pt idx="2">
                  <c:v>-0.94524017494690271</c:v>
                </c:pt>
                <c:pt idx="3">
                  <c:v>-1.160698704374852</c:v>
                </c:pt>
                <c:pt idx="4">
                  <c:v>-1.3767151060567129</c:v>
                </c:pt>
                <c:pt idx="5">
                  <c:v>-1.4771684120728823</c:v>
                </c:pt>
                <c:pt idx="6">
                  <c:v>-1.5404256235149245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006-496C-9182-B2786B7C2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519264"/>
        <c:axId val="1804760464"/>
      </c:scatterChart>
      <c:valAx>
        <c:axId val="464519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4760464"/>
        <c:crosses val="autoZero"/>
        <c:crossBetween val="midCat"/>
      </c:valAx>
      <c:valAx>
        <c:axId val="180476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519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1058249349686636"/>
                  <c:y val="0.1085451491723666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'P4'!$AC$6:$AC$12</c:f>
              <c:numCache>
                <c:formatCode>General</c:formatCode>
                <c:ptCount val="7"/>
                <c:pt idx="0">
                  <c:v>0</c:v>
                </c:pt>
                <c:pt idx="1">
                  <c:v>19.25</c:v>
                </c:pt>
                <c:pt idx="2">
                  <c:v>51.966666666666669</c:v>
                </c:pt>
                <c:pt idx="3">
                  <c:v>73.166666666666671</c:v>
                </c:pt>
                <c:pt idx="4">
                  <c:v>96.466666666666669</c:v>
                </c:pt>
                <c:pt idx="5">
                  <c:v>120.76666666666667</c:v>
                </c:pt>
                <c:pt idx="6">
                  <c:v>144.15</c:v>
                </c:pt>
              </c:numCache>
            </c:numRef>
          </c:xVal>
          <c:yVal>
            <c:numRef>
              <c:f>'P4'!$AD$6:$AD$12</c:f>
              <c:numCache>
                <c:formatCode>0.00</c:formatCode>
                <c:ptCount val="7"/>
                <c:pt idx="0">
                  <c:v>-0.21643699358157381</c:v>
                </c:pt>
                <c:pt idx="1">
                  <c:v>-0.39526857232468082</c:v>
                </c:pt>
                <c:pt idx="2">
                  <c:v>-0.80175107909200194</c:v>
                </c:pt>
                <c:pt idx="3">
                  <c:v>-0.97625127607419104</c:v>
                </c:pt>
                <c:pt idx="4">
                  <c:v>-1.1201335247954354</c:v>
                </c:pt>
                <c:pt idx="5">
                  <c:v>-1.2714184070068479</c:v>
                </c:pt>
                <c:pt idx="6">
                  <c:v>-1.3577357721243226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53-4DEA-B66C-7C699622FA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540960"/>
        <c:axId val="1723627152"/>
      </c:scatterChart>
      <c:valAx>
        <c:axId val="327540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3627152"/>
        <c:crosses val="autoZero"/>
        <c:crossBetween val="midCat"/>
      </c:valAx>
      <c:valAx>
        <c:axId val="1723627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540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P1</c:v>
          </c:tx>
          <c:spPr>
            <a:ln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8.1445226134111717E-2"/>
                  <c:y val="0.15340728810228002"/>
                </c:manualLayout>
              </c:layout>
              <c:numFmt formatCode="General" sourceLinked="0"/>
            </c:trendlineLbl>
          </c:trendline>
          <c:xVal>
            <c:numRef>
              <c:f>'P1'!$AA$7:$AA$13</c:f>
              <c:numCache>
                <c:formatCode>General</c:formatCode>
                <c:ptCount val="7"/>
                <c:pt idx="0">
                  <c:v>0</c:v>
                </c:pt>
                <c:pt idx="1">
                  <c:v>20.733333333333334</c:v>
                </c:pt>
                <c:pt idx="2">
                  <c:v>47.7</c:v>
                </c:pt>
                <c:pt idx="3">
                  <c:v>71.8</c:v>
                </c:pt>
                <c:pt idx="4">
                  <c:v>91.15</c:v>
                </c:pt>
                <c:pt idx="5">
                  <c:v>115.31666666666666</c:v>
                </c:pt>
                <c:pt idx="6">
                  <c:v>167.75</c:v>
                </c:pt>
              </c:numCache>
            </c:numRef>
          </c:xVal>
          <c:yVal>
            <c:numRef>
              <c:f>'P1'!$AB$7:$AB$13</c:f>
              <c:numCache>
                <c:formatCode>0.00</c:formatCode>
                <c:ptCount val="7"/>
                <c:pt idx="0">
                  <c:v>-0.42027458441971693</c:v>
                </c:pt>
                <c:pt idx="1">
                  <c:v>-0.54025302894127836</c:v>
                </c:pt>
                <c:pt idx="2">
                  <c:v>-0.65908271563294696</c:v>
                </c:pt>
                <c:pt idx="3">
                  <c:v>-0.75652122733026206</c:v>
                </c:pt>
                <c:pt idx="4">
                  <c:v>-0.84830693419983427</c:v>
                </c:pt>
                <c:pt idx="5">
                  <c:v>-0.94021490485951542</c:v>
                </c:pt>
                <c:pt idx="6">
                  <c:v>-1.16031087013359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AF27-4BBC-875D-AAA1E9C06A76}"/>
            </c:ext>
          </c:extLst>
        </c:ser>
        <c:ser>
          <c:idx val="2"/>
          <c:order val="1"/>
          <c:tx>
            <c:v>P2</c:v>
          </c:tx>
          <c:spPr>
            <a:ln w="19050" cap="rnd">
              <a:noFill/>
              <a:round/>
            </a:ln>
            <a:effectLst/>
          </c:spPr>
          <c:trendline>
            <c:trendlineType val="linear"/>
            <c:dispRSqr val="1"/>
            <c:dispEq val="1"/>
            <c:trendlineLbl>
              <c:layout>
                <c:manualLayout>
                  <c:x val="0.10925788944415499"/>
                  <c:y val="4.5802696797745533E-2"/>
                </c:manualLayout>
              </c:layout>
              <c:numFmt formatCode="General" sourceLinked="0"/>
            </c:trendlineLbl>
          </c:trendline>
          <c:xVal>
            <c:numRef>
              <c:f>'P2'!$BR$7:$BR$11</c:f>
              <c:numCache>
                <c:formatCode>General</c:formatCode>
                <c:ptCount val="5"/>
                <c:pt idx="0">
                  <c:v>0</c:v>
                </c:pt>
                <c:pt idx="1">
                  <c:v>0.89277777777777778</c:v>
                </c:pt>
                <c:pt idx="2">
                  <c:v>1.9827777777777778</c:v>
                </c:pt>
                <c:pt idx="3">
                  <c:v>4.0727777777777776</c:v>
                </c:pt>
                <c:pt idx="4">
                  <c:v>4.9702777777777785</c:v>
                </c:pt>
              </c:numCache>
            </c:numRef>
          </c:xVal>
          <c:yVal>
            <c:numRef>
              <c:f>'P2'!$BS$7:$BS$11</c:f>
              <c:numCache>
                <c:formatCode>0.00</c:formatCode>
                <c:ptCount val="5"/>
                <c:pt idx="0">
                  <c:v>-0.32186383579687849</c:v>
                </c:pt>
                <c:pt idx="1">
                  <c:v>-0.32361724225194466</c:v>
                </c:pt>
                <c:pt idx="2">
                  <c:v>-0.32661332083736405</c:v>
                </c:pt>
                <c:pt idx="3">
                  <c:v>-0.33673227042707282</c:v>
                </c:pt>
                <c:pt idx="4">
                  <c:v>-0.34235598698245945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AF27-4BBC-875D-AAA1E9C06A76}"/>
            </c:ext>
          </c:extLst>
        </c:ser>
        <c:ser>
          <c:idx val="3"/>
          <c:order val="2"/>
          <c:tx>
            <c:v>P3</c:v>
          </c:tx>
          <c:spPr>
            <a:ln w="19050" cap="rnd">
              <a:noFill/>
              <a:round/>
            </a:ln>
            <a:effectLst/>
          </c:spPr>
          <c:xVal>
            <c:numRef>
              <c:f>'P3'!$AC$9:$AC$15</c:f>
              <c:numCache>
                <c:formatCode>General</c:formatCode>
                <c:ptCount val="7"/>
                <c:pt idx="0">
                  <c:v>0</c:v>
                </c:pt>
                <c:pt idx="1">
                  <c:v>19.25</c:v>
                </c:pt>
                <c:pt idx="2">
                  <c:v>51.966666666666669</c:v>
                </c:pt>
                <c:pt idx="3">
                  <c:v>73.166666666666671</c:v>
                </c:pt>
                <c:pt idx="4">
                  <c:v>96.63333333333334</c:v>
                </c:pt>
                <c:pt idx="5">
                  <c:v>120.76666666666667</c:v>
                </c:pt>
                <c:pt idx="6">
                  <c:v>144.15</c:v>
                </c:pt>
              </c:numCache>
            </c:numRef>
          </c:xVal>
          <c:yVal>
            <c:numRef>
              <c:f>'P3'!$AD$9:$AD$15</c:f>
              <c:numCache>
                <c:formatCode>0.00</c:formatCode>
                <c:ptCount val="7"/>
                <c:pt idx="0">
                  <c:v>-0.34570540357306978</c:v>
                </c:pt>
                <c:pt idx="1">
                  <c:v>-0.51919859604164786</c:v>
                </c:pt>
                <c:pt idx="2">
                  <c:v>-0.94524017494690271</c:v>
                </c:pt>
                <c:pt idx="3">
                  <c:v>-1.160698704374852</c:v>
                </c:pt>
                <c:pt idx="4">
                  <c:v>-1.3767151060567129</c:v>
                </c:pt>
                <c:pt idx="5">
                  <c:v>-1.4771684120728823</c:v>
                </c:pt>
                <c:pt idx="6">
                  <c:v>-1.5404256235149245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AF27-4BBC-875D-AAA1E9C06A76}"/>
            </c:ext>
          </c:extLst>
        </c:ser>
        <c:ser>
          <c:idx val="4"/>
          <c:order val="3"/>
          <c:tx>
            <c:v>P4</c:v>
          </c:tx>
          <c:spPr>
            <a:ln w="19050" cap="rnd">
              <a:noFill/>
              <a:round/>
            </a:ln>
            <a:effectLst/>
          </c:spPr>
          <c:xVal>
            <c:numRef>
              <c:f>'P4'!$AC$6:$AC$12</c:f>
              <c:numCache>
                <c:formatCode>General</c:formatCode>
                <c:ptCount val="7"/>
                <c:pt idx="0">
                  <c:v>0</c:v>
                </c:pt>
                <c:pt idx="1">
                  <c:v>19.25</c:v>
                </c:pt>
                <c:pt idx="2">
                  <c:v>51.966666666666669</c:v>
                </c:pt>
                <c:pt idx="3">
                  <c:v>73.166666666666671</c:v>
                </c:pt>
                <c:pt idx="4">
                  <c:v>96.466666666666669</c:v>
                </c:pt>
                <c:pt idx="5">
                  <c:v>120.76666666666667</c:v>
                </c:pt>
                <c:pt idx="6">
                  <c:v>144.15</c:v>
                </c:pt>
              </c:numCache>
            </c:numRef>
          </c:xVal>
          <c:yVal>
            <c:numRef>
              <c:f>'P4'!$AD$6:$AD$12</c:f>
              <c:numCache>
                <c:formatCode>0.00</c:formatCode>
                <c:ptCount val="7"/>
                <c:pt idx="0">
                  <c:v>-0.21643699358157381</c:v>
                </c:pt>
                <c:pt idx="1">
                  <c:v>-0.39526857232468082</c:v>
                </c:pt>
                <c:pt idx="2">
                  <c:v>-0.80175107909200194</c:v>
                </c:pt>
                <c:pt idx="3">
                  <c:v>-0.97625127607419104</c:v>
                </c:pt>
                <c:pt idx="4">
                  <c:v>-1.1201335247954354</c:v>
                </c:pt>
                <c:pt idx="5">
                  <c:v>-1.2714184070068479</c:v>
                </c:pt>
                <c:pt idx="6">
                  <c:v>-1.3577357721243226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F27-4BBC-875D-AAA1E9C06A76}"/>
            </c:ext>
          </c:extLst>
        </c:ser>
        <c:ser>
          <c:idx val="5"/>
          <c:order val="4"/>
          <c:tx>
            <c:v>P5</c:v>
          </c:tx>
          <c:spPr>
            <a:ln w="19050" cap="rnd">
              <a:noFill/>
              <a:round/>
            </a:ln>
            <a:effectLst/>
          </c:spPr>
          <c:xVal>
            <c:numRef>
              <c:f>'P5'!$S$6:$S$15</c:f>
              <c:numCache>
                <c:formatCode>0.0</c:formatCode>
                <c:ptCount val="10"/>
                <c:pt idx="0">
                  <c:v>0</c:v>
                </c:pt>
                <c:pt idx="1">
                  <c:v>22.616666666666667</c:v>
                </c:pt>
                <c:pt idx="2">
                  <c:v>92.7</c:v>
                </c:pt>
                <c:pt idx="3">
                  <c:v>117.91666666666667</c:v>
                </c:pt>
                <c:pt idx="4">
                  <c:v>140.94999999999999</c:v>
                </c:pt>
                <c:pt idx="5">
                  <c:v>186.25</c:v>
                </c:pt>
                <c:pt idx="6">
                  <c:v>257.31666666666666</c:v>
                </c:pt>
                <c:pt idx="7">
                  <c:v>280.55</c:v>
                </c:pt>
                <c:pt idx="8">
                  <c:v>305.46666666666664</c:v>
                </c:pt>
                <c:pt idx="9">
                  <c:v>329.21666666666664</c:v>
                </c:pt>
              </c:numCache>
            </c:numRef>
          </c:xVal>
          <c:yVal>
            <c:numRef>
              <c:f>'P5'!$T$6:$T$15</c:f>
              <c:numCache>
                <c:formatCode>General</c:formatCode>
                <c:ptCount val="10"/>
                <c:pt idx="0">
                  <c:v>-3.5526402838962155E-2</c:v>
                </c:pt>
                <c:pt idx="1">
                  <c:v>-0.19750770745074656</c:v>
                </c:pt>
                <c:pt idx="2">
                  <c:v>-0.64810165913626028</c:v>
                </c:pt>
                <c:pt idx="3">
                  <c:v>-0.80147430500983396</c:v>
                </c:pt>
                <c:pt idx="4">
                  <c:v>-0.93856982027625824</c:v>
                </c:pt>
                <c:pt idx="5">
                  <c:v>-1.1953810364633022</c:v>
                </c:pt>
                <c:pt idx="6">
                  <c:v>-1.5527574201092289</c:v>
                </c:pt>
                <c:pt idx="7">
                  <c:v>-1.6901278161775017</c:v>
                </c:pt>
                <c:pt idx="8">
                  <c:v>-1.8139384827073721</c:v>
                </c:pt>
                <c:pt idx="9">
                  <c:v>-1.8933802334325942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AF27-4BBC-875D-AAA1E9C06A76}"/>
            </c:ext>
          </c:extLst>
        </c:ser>
        <c:ser>
          <c:idx val="0"/>
          <c:order val="5"/>
          <c:tx>
            <c:v>P6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'P6'!$Q$5:$Q$14</c:f>
              <c:numCache>
                <c:formatCode>0.0</c:formatCode>
                <c:ptCount val="10"/>
                <c:pt idx="0">
                  <c:v>0</c:v>
                </c:pt>
                <c:pt idx="1">
                  <c:v>22.633333333333333</c:v>
                </c:pt>
                <c:pt idx="2">
                  <c:v>92.7</c:v>
                </c:pt>
                <c:pt idx="3">
                  <c:v>117.93333333333334</c:v>
                </c:pt>
                <c:pt idx="4">
                  <c:v>140.96666666666667</c:v>
                </c:pt>
                <c:pt idx="5">
                  <c:v>186.26666666666668</c:v>
                </c:pt>
                <c:pt idx="6">
                  <c:v>257.31666666666666</c:v>
                </c:pt>
                <c:pt idx="7">
                  <c:v>280.55</c:v>
                </c:pt>
                <c:pt idx="8">
                  <c:v>305.46666666666664</c:v>
                </c:pt>
                <c:pt idx="9">
                  <c:v>329.23333333333335</c:v>
                </c:pt>
              </c:numCache>
            </c:numRef>
          </c:xVal>
          <c:yVal>
            <c:numRef>
              <c:f>'P6'!$R$5:$R$14</c:f>
              <c:numCache>
                <c:formatCode>General</c:formatCode>
                <c:ptCount val="10"/>
                <c:pt idx="0">
                  <c:v>-3.1689475922472093E-2</c:v>
                </c:pt>
                <c:pt idx="1">
                  <c:v>-0.16437133704647225</c:v>
                </c:pt>
                <c:pt idx="2">
                  <c:v>-0.54787963414547003</c:v>
                </c:pt>
                <c:pt idx="3">
                  <c:v>-0.68182252931266574</c:v>
                </c:pt>
                <c:pt idx="4">
                  <c:v>-0.79936589705527483</c:v>
                </c:pt>
                <c:pt idx="5">
                  <c:v>-1.0237622804173871</c:v>
                </c:pt>
                <c:pt idx="6">
                  <c:v>-1.3430384700267168</c:v>
                </c:pt>
                <c:pt idx="7">
                  <c:v>-1.4416017337869032</c:v>
                </c:pt>
                <c:pt idx="8">
                  <c:v>-1.547013292220077</c:v>
                </c:pt>
                <c:pt idx="9">
                  <c:v>-1.6353869953178883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AF27-4BBC-875D-AAA1E9C06A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2544848"/>
        <c:axId val="1410248736"/>
      </c:scatterChart>
      <c:valAx>
        <c:axId val="1542544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0248736"/>
        <c:crosses val="autoZero"/>
        <c:crossBetween val="midCat"/>
      </c:valAx>
      <c:valAx>
        <c:axId val="1410248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25448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094537198229754"/>
                  <c:y val="0.1104838605305956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'P5'!$S$6:$S$15</c:f>
              <c:numCache>
                <c:formatCode>0.0</c:formatCode>
                <c:ptCount val="10"/>
                <c:pt idx="0">
                  <c:v>0</c:v>
                </c:pt>
                <c:pt idx="1">
                  <c:v>22.616666666666667</c:v>
                </c:pt>
                <c:pt idx="2">
                  <c:v>92.7</c:v>
                </c:pt>
                <c:pt idx="3">
                  <c:v>117.91666666666667</c:v>
                </c:pt>
                <c:pt idx="4">
                  <c:v>140.94999999999999</c:v>
                </c:pt>
                <c:pt idx="5">
                  <c:v>186.25</c:v>
                </c:pt>
                <c:pt idx="6">
                  <c:v>257.31666666666666</c:v>
                </c:pt>
                <c:pt idx="7">
                  <c:v>280.55</c:v>
                </c:pt>
                <c:pt idx="8">
                  <c:v>305.46666666666664</c:v>
                </c:pt>
                <c:pt idx="9">
                  <c:v>329.21666666666664</c:v>
                </c:pt>
              </c:numCache>
            </c:numRef>
          </c:xVal>
          <c:yVal>
            <c:numRef>
              <c:f>'P5'!$T$6:$T$15</c:f>
              <c:numCache>
                <c:formatCode>General</c:formatCode>
                <c:ptCount val="10"/>
                <c:pt idx="0">
                  <c:v>-3.5526402838962155E-2</c:v>
                </c:pt>
                <c:pt idx="1">
                  <c:v>-0.19750770745074656</c:v>
                </c:pt>
                <c:pt idx="2">
                  <c:v>-0.64810165913626028</c:v>
                </c:pt>
                <c:pt idx="3">
                  <c:v>-0.80147430500983396</c:v>
                </c:pt>
                <c:pt idx="4">
                  <c:v>-0.93856982027625824</c:v>
                </c:pt>
                <c:pt idx="5">
                  <c:v>-1.1953810364633022</c:v>
                </c:pt>
                <c:pt idx="6">
                  <c:v>-1.5527574201092289</c:v>
                </c:pt>
                <c:pt idx="7">
                  <c:v>-1.6901278161775017</c:v>
                </c:pt>
                <c:pt idx="8">
                  <c:v>-1.8139384827073721</c:v>
                </c:pt>
                <c:pt idx="9">
                  <c:v>-1.8933802334325942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D9-43D7-82C8-46DA2548A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525360"/>
        <c:axId val="596035936"/>
      </c:scatterChart>
      <c:valAx>
        <c:axId val="327525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035936"/>
        <c:crosses val="autoZero"/>
        <c:crossBetween val="midCat"/>
      </c:valAx>
      <c:valAx>
        <c:axId val="596035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525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9.3239382275655661E-2"/>
                  <c:y val="0.1274854150159546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'P6'!$Q$5:$Q$14</c:f>
              <c:numCache>
                <c:formatCode>0.0</c:formatCode>
                <c:ptCount val="10"/>
                <c:pt idx="0">
                  <c:v>0</c:v>
                </c:pt>
                <c:pt idx="1">
                  <c:v>22.633333333333333</c:v>
                </c:pt>
                <c:pt idx="2">
                  <c:v>92.7</c:v>
                </c:pt>
                <c:pt idx="3">
                  <c:v>117.93333333333334</c:v>
                </c:pt>
                <c:pt idx="4">
                  <c:v>140.96666666666667</c:v>
                </c:pt>
                <c:pt idx="5">
                  <c:v>186.26666666666668</c:v>
                </c:pt>
                <c:pt idx="6">
                  <c:v>257.31666666666666</c:v>
                </c:pt>
                <c:pt idx="7">
                  <c:v>280.55</c:v>
                </c:pt>
                <c:pt idx="8">
                  <c:v>305.46666666666664</c:v>
                </c:pt>
                <c:pt idx="9">
                  <c:v>329.23333333333335</c:v>
                </c:pt>
              </c:numCache>
            </c:numRef>
          </c:xVal>
          <c:yVal>
            <c:numRef>
              <c:f>'P6'!$R$5:$R$14</c:f>
              <c:numCache>
                <c:formatCode>General</c:formatCode>
                <c:ptCount val="10"/>
                <c:pt idx="0">
                  <c:v>-3.1689475922472093E-2</c:v>
                </c:pt>
                <c:pt idx="1">
                  <c:v>-0.16437133704647225</c:v>
                </c:pt>
                <c:pt idx="2">
                  <c:v>-0.54787963414547003</c:v>
                </c:pt>
                <c:pt idx="3">
                  <c:v>-0.68182252931266574</c:v>
                </c:pt>
                <c:pt idx="4">
                  <c:v>-0.79936589705527483</c:v>
                </c:pt>
                <c:pt idx="5">
                  <c:v>-1.0237622804173871</c:v>
                </c:pt>
                <c:pt idx="6">
                  <c:v>-1.3430384700267168</c:v>
                </c:pt>
                <c:pt idx="7">
                  <c:v>-1.4416017337869032</c:v>
                </c:pt>
                <c:pt idx="8">
                  <c:v>-1.547013292220077</c:v>
                </c:pt>
                <c:pt idx="9">
                  <c:v>-1.6353869953178883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1A-4CFD-97C1-CA206F3E33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2544848"/>
        <c:axId val="1410248736"/>
      </c:scatterChart>
      <c:valAx>
        <c:axId val="1542544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0248736"/>
        <c:crosses val="autoZero"/>
        <c:crossBetween val="midCat"/>
      </c:valAx>
      <c:valAx>
        <c:axId val="1410248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2544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551241626596836"/>
                  <c:y val="1.495069172544639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'P1'!$AA$7:$AA$13</c:f>
              <c:numCache>
                <c:formatCode>General</c:formatCode>
                <c:ptCount val="7"/>
                <c:pt idx="0">
                  <c:v>0</c:v>
                </c:pt>
                <c:pt idx="1">
                  <c:v>20.733333333333334</c:v>
                </c:pt>
                <c:pt idx="2">
                  <c:v>47.7</c:v>
                </c:pt>
                <c:pt idx="3">
                  <c:v>71.8</c:v>
                </c:pt>
                <c:pt idx="4">
                  <c:v>91.15</c:v>
                </c:pt>
                <c:pt idx="5">
                  <c:v>115.31666666666666</c:v>
                </c:pt>
                <c:pt idx="6">
                  <c:v>167.75</c:v>
                </c:pt>
              </c:numCache>
            </c:numRef>
          </c:xVal>
          <c:yVal>
            <c:numRef>
              <c:f>'P1'!$AB$7:$AB$13</c:f>
              <c:numCache>
                <c:formatCode>0.00</c:formatCode>
                <c:ptCount val="7"/>
                <c:pt idx="0">
                  <c:v>-0.42027458441971693</c:v>
                </c:pt>
                <c:pt idx="1">
                  <c:v>-0.54025302894127836</c:v>
                </c:pt>
                <c:pt idx="2">
                  <c:v>-0.65908271563294696</c:v>
                </c:pt>
                <c:pt idx="3">
                  <c:v>-0.75652122733026206</c:v>
                </c:pt>
                <c:pt idx="4">
                  <c:v>-0.84830693419983427</c:v>
                </c:pt>
                <c:pt idx="5">
                  <c:v>-0.94021490485951542</c:v>
                </c:pt>
                <c:pt idx="6">
                  <c:v>-1.16031087013359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91-420D-90D4-3FDCDF1024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123280"/>
        <c:axId val="1806629856"/>
      </c:scatterChart>
      <c:valAx>
        <c:axId val="323123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6629856"/>
        <c:crosses val="autoZero"/>
        <c:crossBetween val="midCat"/>
      </c:valAx>
      <c:valAx>
        <c:axId val="180662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3123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P1</c:v>
          </c:tx>
          <c:spPr>
            <a:ln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'P1'!$AA$7:$AA$13</c:f>
              <c:numCache>
                <c:formatCode>General</c:formatCode>
                <c:ptCount val="7"/>
                <c:pt idx="0">
                  <c:v>0</c:v>
                </c:pt>
                <c:pt idx="1">
                  <c:v>20.733333333333334</c:v>
                </c:pt>
                <c:pt idx="2">
                  <c:v>47.7</c:v>
                </c:pt>
                <c:pt idx="3">
                  <c:v>71.8</c:v>
                </c:pt>
                <c:pt idx="4">
                  <c:v>91.15</c:v>
                </c:pt>
                <c:pt idx="5">
                  <c:v>115.31666666666666</c:v>
                </c:pt>
                <c:pt idx="6">
                  <c:v>167.75</c:v>
                </c:pt>
              </c:numCache>
            </c:numRef>
          </c:xVal>
          <c:yVal>
            <c:numRef>
              <c:f>'P1'!$AB$7:$AB$13</c:f>
              <c:numCache>
                <c:formatCode>0.00</c:formatCode>
                <c:ptCount val="7"/>
                <c:pt idx="0">
                  <c:v>-0.42027458441971693</c:v>
                </c:pt>
                <c:pt idx="1">
                  <c:v>-0.54025302894127836</c:v>
                </c:pt>
                <c:pt idx="2">
                  <c:v>-0.65908271563294696</c:v>
                </c:pt>
                <c:pt idx="3">
                  <c:v>-0.75652122733026206</c:v>
                </c:pt>
                <c:pt idx="4">
                  <c:v>-0.84830693419983427</c:v>
                </c:pt>
                <c:pt idx="5">
                  <c:v>-0.94021490485951542</c:v>
                </c:pt>
                <c:pt idx="6">
                  <c:v>-1.16031087013359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84-4739-9373-85E02CE5BF5B}"/>
            </c:ext>
          </c:extLst>
        </c:ser>
        <c:ser>
          <c:idx val="2"/>
          <c:order val="1"/>
          <c:tx>
            <c:v>P2</c:v>
          </c:tx>
          <c:spPr>
            <a:ln w="19050" cap="rnd">
              <a:noFill/>
              <a:round/>
            </a:ln>
            <a:effectLst/>
          </c:spPr>
          <c:trendline>
            <c:trendlineType val="linear"/>
            <c:dispRSqr val="0"/>
            <c:dispEq val="0"/>
          </c:trendline>
          <c:xVal>
            <c:numRef>
              <c:f>'P2'!$BR$7:$BR$11</c:f>
              <c:numCache>
                <c:formatCode>General</c:formatCode>
                <c:ptCount val="5"/>
                <c:pt idx="0">
                  <c:v>0</c:v>
                </c:pt>
                <c:pt idx="1">
                  <c:v>0.89277777777777778</c:v>
                </c:pt>
                <c:pt idx="2">
                  <c:v>1.9827777777777778</c:v>
                </c:pt>
                <c:pt idx="3">
                  <c:v>4.0727777777777776</c:v>
                </c:pt>
                <c:pt idx="4">
                  <c:v>4.9702777777777785</c:v>
                </c:pt>
              </c:numCache>
            </c:numRef>
          </c:xVal>
          <c:yVal>
            <c:numRef>
              <c:f>'P2'!$BS$7:$BS$11</c:f>
              <c:numCache>
                <c:formatCode>0.00</c:formatCode>
                <c:ptCount val="5"/>
                <c:pt idx="0">
                  <c:v>-0.32186383579687849</c:v>
                </c:pt>
                <c:pt idx="1">
                  <c:v>-0.32361724225194466</c:v>
                </c:pt>
                <c:pt idx="2">
                  <c:v>-0.32661332083736405</c:v>
                </c:pt>
                <c:pt idx="3">
                  <c:v>-0.33673227042707282</c:v>
                </c:pt>
                <c:pt idx="4">
                  <c:v>-0.34235598698245945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984-4739-9373-85E02CE5BF5B}"/>
            </c:ext>
          </c:extLst>
        </c:ser>
        <c:ser>
          <c:idx val="3"/>
          <c:order val="2"/>
          <c:tx>
            <c:v>P3</c:v>
          </c:tx>
          <c:spPr>
            <a:ln w="19050" cap="rnd">
              <a:noFill/>
              <a:round/>
            </a:ln>
            <a:effectLst/>
          </c:spPr>
          <c:trendline>
            <c:trendlineType val="linear"/>
            <c:dispRSqr val="0"/>
            <c:dispEq val="0"/>
          </c:trendline>
          <c:xVal>
            <c:numRef>
              <c:f>'P3'!$AC$9:$AC$15</c:f>
              <c:numCache>
                <c:formatCode>General</c:formatCode>
                <c:ptCount val="7"/>
                <c:pt idx="0">
                  <c:v>0</c:v>
                </c:pt>
                <c:pt idx="1">
                  <c:v>19.25</c:v>
                </c:pt>
                <c:pt idx="2">
                  <c:v>51.966666666666669</c:v>
                </c:pt>
                <c:pt idx="3">
                  <c:v>73.166666666666671</c:v>
                </c:pt>
                <c:pt idx="4">
                  <c:v>96.63333333333334</c:v>
                </c:pt>
                <c:pt idx="5">
                  <c:v>120.76666666666667</c:v>
                </c:pt>
                <c:pt idx="6">
                  <c:v>144.15</c:v>
                </c:pt>
              </c:numCache>
            </c:numRef>
          </c:xVal>
          <c:yVal>
            <c:numRef>
              <c:f>'P3'!$AD$9:$AD$15</c:f>
              <c:numCache>
                <c:formatCode>0.00</c:formatCode>
                <c:ptCount val="7"/>
                <c:pt idx="0">
                  <c:v>-0.34570540357306978</c:v>
                </c:pt>
                <c:pt idx="1">
                  <c:v>-0.51919859604164786</c:v>
                </c:pt>
                <c:pt idx="2">
                  <c:v>-0.94524017494690271</c:v>
                </c:pt>
                <c:pt idx="3">
                  <c:v>-1.160698704374852</c:v>
                </c:pt>
                <c:pt idx="4">
                  <c:v>-1.3767151060567129</c:v>
                </c:pt>
                <c:pt idx="5">
                  <c:v>-1.4771684120728823</c:v>
                </c:pt>
                <c:pt idx="6">
                  <c:v>-1.5404256235149245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984-4739-9373-85E02CE5BF5B}"/>
            </c:ext>
          </c:extLst>
        </c:ser>
        <c:ser>
          <c:idx val="4"/>
          <c:order val="3"/>
          <c:tx>
            <c:v>P4</c:v>
          </c:tx>
          <c:spPr>
            <a:ln w="19050" cap="rnd">
              <a:noFill/>
              <a:round/>
            </a:ln>
            <a:effectLst/>
          </c:spPr>
          <c:trendline>
            <c:trendlineType val="linear"/>
            <c:dispRSqr val="0"/>
            <c:dispEq val="0"/>
          </c:trendline>
          <c:xVal>
            <c:numRef>
              <c:f>'P4'!$AC$6:$AC$12</c:f>
              <c:numCache>
                <c:formatCode>General</c:formatCode>
                <c:ptCount val="7"/>
                <c:pt idx="0">
                  <c:v>0</c:v>
                </c:pt>
                <c:pt idx="1">
                  <c:v>19.25</c:v>
                </c:pt>
                <c:pt idx="2">
                  <c:v>51.966666666666669</c:v>
                </c:pt>
                <c:pt idx="3">
                  <c:v>73.166666666666671</c:v>
                </c:pt>
                <c:pt idx="4">
                  <c:v>96.466666666666669</c:v>
                </c:pt>
                <c:pt idx="5">
                  <c:v>120.76666666666667</c:v>
                </c:pt>
                <c:pt idx="6">
                  <c:v>144.15</c:v>
                </c:pt>
              </c:numCache>
            </c:numRef>
          </c:xVal>
          <c:yVal>
            <c:numRef>
              <c:f>'P4'!$AD$6:$AD$12</c:f>
              <c:numCache>
                <c:formatCode>0.00</c:formatCode>
                <c:ptCount val="7"/>
                <c:pt idx="0">
                  <c:v>-0.21643699358157381</c:v>
                </c:pt>
                <c:pt idx="1">
                  <c:v>-0.39526857232468082</c:v>
                </c:pt>
                <c:pt idx="2">
                  <c:v>-0.80175107909200194</c:v>
                </c:pt>
                <c:pt idx="3">
                  <c:v>-0.97625127607419104</c:v>
                </c:pt>
                <c:pt idx="4">
                  <c:v>-1.1201335247954354</c:v>
                </c:pt>
                <c:pt idx="5">
                  <c:v>-1.2714184070068479</c:v>
                </c:pt>
                <c:pt idx="6">
                  <c:v>-1.3577357721243226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984-4739-9373-85E02CE5BF5B}"/>
            </c:ext>
          </c:extLst>
        </c:ser>
        <c:ser>
          <c:idx val="5"/>
          <c:order val="4"/>
          <c:tx>
            <c:v>P5</c:v>
          </c:tx>
          <c:spPr>
            <a:ln w="19050" cap="rnd">
              <a:noFill/>
              <a:round/>
            </a:ln>
            <a:effectLst/>
          </c:spPr>
          <c:trendline>
            <c:trendlineType val="linear"/>
            <c:dispRSqr val="0"/>
            <c:dispEq val="0"/>
          </c:trendline>
          <c:xVal>
            <c:numRef>
              <c:f>'P5'!$S$6:$S$15</c:f>
              <c:numCache>
                <c:formatCode>0.0</c:formatCode>
                <c:ptCount val="10"/>
                <c:pt idx="0">
                  <c:v>0</c:v>
                </c:pt>
                <c:pt idx="1">
                  <c:v>22.616666666666667</c:v>
                </c:pt>
                <c:pt idx="2">
                  <c:v>92.7</c:v>
                </c:pt>
                <c:pt idx="3">
                  <c:v>117.91666666666667</c:v>
                </c:pt>
                <c:pt idx="4">
                  <c:v>140.94999999999999</c:v>
                </c:pt>
                <c:pt idx="5">
                  <c:v>186.25</c:v>
                </c:pt>
                <c:pt idx="6">
                  <c:v>257.31666666666666</c:v>
                </c:pt>
                <c:pt idx="7">
                  <c:v>280.55</c:v>
                </c:pt>
                <c:pt idx="8">
                  <c:v>305.46666666666664</c:v>
                </c:pt>
                <c:pt idx="9">
                  <c:v>329.21666666666664</c:v>
                </c:pt>
              </c:numCache>
            </c:numRef>
          </c:xVal>
          <c:yVal>
            <c:numRef>
              <c:f>'P5'!$T$6:$T$15</c:f>
              <c:numCache>
                <c:formatCode>General</c:formatCode>
                <c:ptCount val="10"/>
                <c:pt idx="0">
                  <c:v>-3.5526402838962155E-2</c:v>
                </c:pt>
                <c:pt idx="1">
                  <c:v>-0.19750770745074656</c:v>
                </c:pt>
                <c:pt idx="2">
                  <c:v>-0.64810165913626028</c:v>
                </c:pt>
                <c:pt idx="3">
                  <c:v>-0.80147430500983396</c:v>
                </c:pt>
                <c:pt idx="4">
                  <c:v>-0.93856982027625824</c:v>
                </c:pt>
                <c:pt idx="5">
                  <c:v>-1.1953810364633022</c:v>
                </c:pt>
                <c:pt idx="6">
                  <c:v>-1.5527574201092289</c:v>
                </c:pt>
                <c:pt idx="7">
                  <c:v>-1.6901278161775017</c:v>
                </c:pt>
                <c:pt idx="8">
                  <c:v>-1.8139384827073721</c:v>
                </c:pt>
                <c:pt idx="9">
                  <c:v>-1.8933802334325942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984-4739-9373-85E02CE5BF5B}"/>
            </c:ext>
          </c:extLst>
        </c:ser>
        <c:ser>
          <c:idx val="0"/>
          <c:order val="5"/>
          <c:tx>
            <c:v>P6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trendlineType val="linear"/>
            <c:dispRSqr val="0"/>
            <c:dispEq val="0"/>
          </c:trendline>
          <c:xVal>
            <c:numRef>
              <c:f>'P6'!$Q$5:$Q$14</c:f>
              <c:numCache>
                <c:formatCode>0.0</c:formatCode>
                <c:ptCount val="10"/>
                <c:pt idx="0">
                  <c:v>0</c:v>
                </c:pt>
                <c:pt idx="1">
                  <c:v>22.633333333333333</c:v>
                </c:pt>
                <c:pt idx="2">
                  <c:v>92.7</c:v>
                </c:pt>
                <c:pt idx="3">
                  <c:v>117.93333333333334</c:v>
                </c:pt>
                <c:pt idx="4">
                  <c:v>140.96666666666667</c:v>
                </c:pt>
                <c:pt idx="5">
                  <c:v>186.26666666666668</c:v>
                </c:pt>
                <c:pt idx="6">
                  <c:v>257.31666666666666</c:v>
                </c:pt>
                <c:pt idx="7">
                  <c:v>280.55</c:v>
                </c:pt>
                <c:pt idx="8">
                  <c:v>305.46666666666664</c:v>
                </c:pt>
                <c:pt idx="9">
                  <c:v>329.23333333333335</c:v>
                </c:pt>
              </c:numCache>
            </c:numRef>
          </c:xVal>
          <c:yVal>
            <c:numRef>
              <c:f>'P6'!$R$5:$R$14</c:f>
              <c:numCache>
                <c:formatCode>General</c:formatCode>
                <c:ptCount val="10"/>
                <c:pt idx="0">
                  <c:v>-3.1689475922472093E-2</c:v>
                </c:pt>
                <c:pt idx="1">
                  <c:v>-0.16437133704647225</c:v>
                </c:pt>
                <c:pt idx="2">
                  <c:v>-0.54787963414547003</c:v>
                </c:pt>
                <c:pt idx="3">
                  <c:v>-0.68182252931266574</c:v>
                </c:pt>
                <c:pt idx="4">
                  <c:v>-0.79936589705527483</c:v>
                </c:pt>
                <c:pt idx="5">
                  <c:v>-1.0237622804173871</c:v>
                </c:pt>
                <c:pt idx="6">
                  <c:v>-1.3430384700267168</c:v>
                </c:pt>
                <c:pt idx="7">
                  <c:v>-1.4416017337869032</c:v>
                </c:pt>
                <c:pt idx="8">
                  <c:v>-1.547013292220077</c:v>
                </c:pt>
                <c:pt idx="9">
                  <c:v>-1.6353869953178883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984-4739-9373-85E02CE5BF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2544848"/>
        <c:axId val="1410248736"/>
      </c:scatterChart>
      <c:valAx>
        <c:axId val="1542544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0248736"/>
        <c:crosses val="autoZero"/>
        <c:crossBetween val="midCat"/>
      </c:valAx>
      <c:valAx>
        <c:axId val="1410248736"/>
        <c:scaling>
          <c:orientation val="minMax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25448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0341905897620259"/>
                  <c:y val="-2.717705214963145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John!$C$6:$C$13</c:f>
              <c:numCache>
                <c:formatCode>0.00</c:formatCode>
                <c:ptCount val="8"/>
                <c:pt idx="0">
                  <c:v>0</c:v>
                </c:pt>
                <c:pt idx="1">
                  <c:v>25.5</c:v>
                </c:pt>
                <c:pt idx="2">
                  <c:v>71.599999999999994</c:v>
                </c:pt>
                <c:pt idx="3">
                  <c:v>95.88</c:v>
                </c:pt>
                <c:pt idx="4">
                  <c:v>119.27</c:v>
                </c:pt>
                <c:pt idx="5">
                  <c:v>143.47</c:v>
                </c:pt>
                <c:pt idx="6">
                  <c:v>166.85</c:v>
                </c:pt>
                <c:pt idx="7">
                  <c:v>194.83</c:v>
                </c:pt>
              </c:numCache>
            </c:numRef>
          </c:xVal>
          <c:yVal>
            <c:numRef>
              <c:f>John!$F$6:$F$13</c:f>
              <c:numCache>
                <c:formatCode>General</c:formatCode>
                <c:ptCount val="8"/>
                <c:pt idx="0">
                  <c:v>0</c:v>
                </c:pt>
                <c:pt idx="1">
                  <c:v>-0.10031913312049985</c:v>
                </c:pt>
                <c:pt idx="2">
                  <c:v>-0.27824959078273337</c:v>
                </c:pt>
                <c:pt idx="3">
                  <c:v>-0.38082134166237264</c:v>
                </c:pt>
                <c:pt idx="4">
                  <c:v>-0.48381762488753238</c:v>
                </c:pt>
                <c:pt idx="5">
                  <c:v>-0.58665398592303886</c:v>
                </c:pt>
                <c:pt idx="6">
                  <c:v>-0.68025474733676738</c:v>
                </c:pt>
                <c:pt idx="7">
                  <c:v>-0.79191626742387589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25-2A4A-A374-400F9A5CC60E}"/>
            </c:ext>
          </c:extLst>
        </c:ser>
        <c:ser>
          <c:idx val="1"/>
          <c:order val="1"/>
          <c:tx>
            <c:v>1b solution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John!$C$18:$C$24</c:f>
              <c:numCache>
                <c:formatCode>General</c:formatCode>
                <c:ptCount val="7"/>
                <c:pt idx="0">
                  <c:v>0</c:v>
                </c:pt>
                <c:pt idx="1">
                  <c:v>23.75</c:v>
                </c:pt>
                <c:pt idx="2">
                  <c:v>48.4</c:v>
                </c:pt>
                <c:pt idx="3">
                  <c:v>68.683333333333337</c:v>
                </c:pt>
                <c:pt idx="4">
                  <c:v>96.933333333333337</c:v>
                </c:pt>
                <c:pt idx="5">
                  <c:v>117.73333333333333</c:v>
                </c:pt>
                <c:pt idx="6">
                  <c:v>146.88333333333333</c:v>
                </c:pt>
              </c:numCache>
            </c:numRef>
          </c:xVal>
          <c:yVal>
            <c:numRef>
              <c:f>John!$F$18:$F$24</c:f>
              <c:numCache>
                <c:formatCode>General</c:formatCode>
                <c:ptCount val="7"/>
                <c:pt idx="0">
                  <c:v>0</c:v>
                </c:pt>
                <c:pt idx="1">
                  <c:v>-0.36676196392615223</c:v>
                </c:pt>
                <c:pt idx="2">
                  <c:v>-0.67639723257494644</c:v>
                </c:pt>
                <c:pt idx="3">
                  <c:v>-0.8760158950114012</c:v>
                </c:pt>
                <c:pt idx="4">
                  <c:v>-1.1580388119298695</c:v>
                </c:pt>
                <c:pt idx="5">
                  <c:v>-1.5559651595177499</c:v>
                </c:pt>
                <c:pt idx="6">
                  <c:v>-1.7359530452334675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725-2A4A-A374-400F9A5CC60E}"/>
            </c:ext>
          </c:extLst>
        </c:ser>
        <c:ser>
          <c:idx val="2"/>
          <c:order val="2"/>
          <c:tx>
            <c:v>2a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John!$C$51:$C$60</c:f>
              <c:numCache>
                <c:formatCode>General</c:formatCode>
                <c:ptCount val="10"/>
                <c:pt idx="0">
                  <c:v>0</c:v>
                </c:pt>
                <c:pt idx="1">
                  <c:v>22.616666666666667</c:v>
                </c:pt>
                <c:pt idx="2">
                  <c:v>92.7</c:v>
                </c:pt>
                <c:pt idx="3">
                  <c:v>117.91666666666667</c:v>
                </c:pt>
                <c:pt idx="4">
                  <c:v>140.94999999999999</c:v>
                </c:pt>
                <c:pt idx="5">
                  <c:v>186.25</c:v>
                </c:pt>
                <c:pt idx="6">
                  <c:v>257.31666666666666</c:v>
                </c:pt>
                <c:pt idx="7">
                  <c:v>280.55</c:v>
                </c:pt>
                <c:pt idx="8">
                  <c:v>305.46666666666664</c:v>
                </c:pt>
                <c:pt idx="9">
                  <c:v>329.21666666666664</c:v>
                </c:pt>
              </c:numCache>
            </c:numRef>
          </c:xVal>
          <c:yVal>
            <c:numRef>
              <c:f>John!$F$51:$F$60</c:f>
              <c:numCache>
                <c:formatCode>General</c:formatCode>
                <c:ptCount val="10"/>
                <c:pt idx="0">
                  <c:v>0</c:v>
                </c:pt>
                <c:pt idx="1">
                  <c:v>-0.16198130461178437</c:v>
                </c:pt>
                <c:pt idx="2">
                  <c:v>-0.61257525629729814</c:v>
                </c:pt>
                <c:pt idx="3">
                  <c:v>-0.76594790217087183</c:v>
                </c:pt>
                <c:pt idx="4">
                  <c:v>-0.9030434174372961</c:v>
                </c:pt>
                <c:pt idx="5">
                  <c:v>-1.1598546336243403</c:v>
                </c:pt>
                <c:pt idx="6">
                  <c:v>-1.5172310172702668</c:v>
                </c:pt>
                <c:pt idx="7">
                  <c:v>-1.6546014133385396</c:v>
                </c:pt>
                <c:pt idx="8">
                  <c:v>-1.77841207986841</c:v>
                </c:pt>
                <c:pt idx="9">
                  <c:v>-1.8578538305936321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725-2A4A-A374-400F9A5CC60E}"/>
            </c:ext>
          </c:extLst>
        </c:ser>
        <c:ser>
          <c:idx val="3"/>
          <c:order val="3"/>
          <c:tx>
            <c:v>2b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2.0950131233595799E-2"/>
                  <c:y val="-0.1189903242292733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John!$C$65:$C$74</c:f>
              <c:numCache>
                <c:formatCode>0.0</c:formatCode>
                <c:ptCount val="10"/>
                <c:pt idx="0">
                  <c:v>0</c:v>
                </c:pt>
                <c:pt idx="1">
                  <c:v>22.633333333333333</c:v>
                </c:pt>
                <c:pt idx="2">
                  <c:v>92.7</c:v>
                </c:pt>
                <c:pt idx="3">
                  <c:v>117.93333333333334</c:v>
                </c:pt>
                <c:pt idx="4">
                  <c:v>140.96666666666667</c:v>
                </c:pt>
                <c:pt idx="5">
                  <c:v>186.26666666666668</c:v>
                </c:pt>
                <c:pt idx="6">
                  <c:v>257.31666666666666</c:v>
                </c:pt>
                <c:pt idx="7">
                  <c:v>280.55</c:v>
                </c:pt>
                <c:pt idx="8">
                  <c:v>305.46666666666664</c:v>
                </c:pt>
                <c:pt idx="9">
                  <c:v>329.23333333333335</c:v>
                </c:pt>
              </c:numCache>
            </c:numRef>
          </c:xVal>
          <c:yVal>
            <c:numRef>
              <c:f>John!$F$65:$F$74</c:f>
              <c:numCache>
                <c:formatCode>General</c:formatCode>
                <c:ptCount val="10"/>
                <c:pt idx="0">
                  <c:v>0</c:v>
                </c:pt>
                <c:pt idx="1">
                  <c:v>-0.13268186112400016</c:v>
                </c:pt>
                <c:pt idx="2">
                  <c:v>-0.51619015822299796</c:v>
                </c:pt>
                <c:pt idx="3">
                  <c:v>-0.65013305339019378</c:v>
                </c:pt>
                <c:pt idx="4">
                  <c:v>-0.76767642113280277</c:v>
                </c:pt>
                <c:pt idx="5">
                  <c:v>-0.99207280449491497</c:v>
                </c:pt>
                <c:pt idx="6">
                  <c:v>-1.3113489941042449</c:v>
                </c:pt>
                <c:pt idx="7">
                  <c:v>-1.409912257864431</c:v>
                </c:pt>
                <c:pt idx="8">
                  <c:v>-1.5153238162976048</c:v>
                </c:pt>
                <c:pt idx="9">
                  <c:v>-1.6036975193954164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725-2A4A-A374-400F9A5CC60E}"/>
            </c:ext>
          </c:extLst>
        </c:ser>
        <c:ser>
          <c:idx val="4"/>
          <c:order val="4"/>
          <c:tx>
            <c:v>3a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 cmpd="sng">
                <a:solidFill>
                  <a:schemeClr val="accent5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6023312470556564"/>
                  <c:y val="1.312613151078887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John!$C$29:$C$35</c:f>
              <c:numCache>
                <c:formatCode>General</c:formatCode>
                <c:ptCount val="7"/>
                <c:pt idx="0">
                  <c:v>0</c:v>
                </c:pt>
                <c:pt idx="1">
                  <c:v>25.733333333333334</c:v>
                </c:pt>
                <c:pt idx="2">
                  <c:v>48.383333333333333</c:v>
                </c:pt>
                <c:pt idx="3">
                  <c:v>71.45</c:v>
                </c:pt>
                <c:pt idx="4">
                  <c:v>142.08333333333334</c:v>
                </c:pt>
                <c:pt idx="5">
                  <c:v>167.45</c:v>
                </c:pt>
                <c:pt idx="6">
                  <c:v>192.65</c:v>
                </c:pt>
              </c:numCache>
            </c:numRef>
          </c:xVal>
          <c:yVal>
            <c:numRef>
              <c:f>John!$F$29:$F$35</c:f>
              <c:numCache>
                <c:formatCode>General</c:formatCode>
                <c:ptCount val="7"/>
                <c:pt idx="0">
                  <c:v>0</c:v>
                </c:pt>
                <c:pt idx="1">
                  <c:v>-0.20323149182051045</c:v>
                </c:pt>
                <c:pt idx="2">
                  <c:v>-0.38669463791362241</c:v>
                </c:pt>
                <c:pt idx="3">
                  <c:v>-0.57451941992887423</c:v>
                </c:pt>
                <c:pt idx="4">
                  <c:v>-1.0349868210515425</c:v>
                </c:pt>
                <c:pt idx="5">
                  <c:v>-1.1718863917482554</c:v>
                </c:pt>
                <c:pt idx="6">
                  <c:v>-1.2856875737576323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725-2A4A-A374-400F9A5CC60E}"/>
            </c:ext>
          </c:extLst>
        </c:ser>
        <c:ser>
          <c:idx val="5"/>
          <c:order val="5"/>
          <c:tx>
            <c:v>3b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4.2591964465980216E-2"/>
                  <c:y val="4.219519589754259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John!$C$40:$C$46</c:f>
              <c:numCache>
                <c:formatCode>General</c:formatCode>
                <c:ptCount val="7"/>
                <c:pt idx="0">
                  <c:v>0</c:v>
                </c:pt>
                <c:pt idx="1">
                  <c:v>22.933333333333334</c:v>
                </c:pt>
                <c:pt idx="2">
                  <c:v>47.383333333333333</c:v>
                </c:pt>
                <c:pt idx="3">
                  <c:v>67.86666666666666</c:v>
                </c:pt>
                <c:pt idx="4">
                  <c:v>96.2</c:v>
                </c:pt>
                <c:pt idx="5">
                  <c:v>164.91666666666666</c:v>
                </c:pt>
                <c:pt idx="6">
                  <c:v>194.06666666666666</c:v>
                </c:pt>
              </c:numCache>
            </c:numRef>
          </c:xVal>
          <c:yVal>
            <c:numRef>
              <c:f>John!$F$40:$F$46</c:f>
              <c:numCache>
                <c:formatCode>General</c:formatCode>
                <c:ptCount val="7"/>
                <c:pt idx="0">
                  <c:v>0</c:v>
                </c:pt>
                <c:pt idx="1">
                  <c:v>-0.18063382737342065</c:v>
                </c:pt>
                <c:pt idx="2">
                  <c:v>-0.37221828606896096</c:v>
                </c:pt>
                <c:pt idx="3">
                  <c:v>-0.52877772819205382</c:v>
                </c:pt>
                <c:pt idx="4">
                  <c:v>-0.74101002755607992</c:v>
                </c:pt>
                <c:pt idx="5">
                  <c:v>-1.1991791056272638</c:v>
                </c:pt>
                <c:pt idx="6">
                  <c:v>-1.3758858726291048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725-2A4A-A374-400F9A5CC60E}"/>
            </c:ext>
          </c:extLst>
        </c:ser>
        <c:ser>
          <c:idx val="6"/>
          <c:order val="6"/>
          <c:tx>
            <c:v>1b solid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1037511179699419"/>
                  <c:y val="2.127669744157385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John!$K$18:$K$29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48</c:v>
                </c:pt>
                <c:pt idx="6">
                  <c:v>72</c:v>
                </c:pt>
                <c:pt idx="7">
                  <c:v>96</c:v>
                </c:pt>
                <c:pt idx="8">
                  <c:v>120</c:v>
                </c:pt>
                <c:pt idx="9">
                  <c:v>144</c:v>
                </c:pt>
                <c:pt idx="10">
                  <c:v>168</c:v>
                </c:pt>
                <c:pt idx="11">
                  <c:v>192</c:v>
                </c:pt>
              </c:numCache>
            </c:numRef>
          </c:xVal>
          <c:yVal>
            <c:numRef>
              <c:f>John!$N$18:$N$29</c:f>
              <c:numCache>
                <c:formatCode>0.0000000</c:formatCode>
                <c:ptCount val="12"/>
                <c:pt idx="0">
                  <c:v>0</c:v>
                </c:pt>
                <c:pt idx="1">
                  <c:v>-5.5325175697256666E-3</c:v>
                </c:pt>
                <c:pt idx="2">
                  <c:v>-1.5288692515090241E-2</c:v>
                </c:pt>
                <c:pt idx="3">
                  <c:v>-3.3663767820084706E-2</c:v>
                </c:pt>
                <c:pt idx="4">
                  <c:v>-0.11847292875032109</c:v>
                </c:pt>
                <c:pt idx="5">
                  <c:v>-0.22486917728167954</c:v>
                </c:pt>
                <c:pt idx="6">
                  <c:v>-0.31707537114841328</c:v>
                </c:pt>
                <c:pt idx="7">
                  <c:v>-0.41656092236321879</c:v>
                </c:pt>
                <c:pt idx="8">
                  <c:v>-0.52704845927287802</c:v>
                </c:pt>
                <c:pt idx="9">
                  <c:v>-0.62774696182489287</c:v>
                </c:pt>
                <c:pt idx="10">
                  <c:v>-0.72823850037121551</c:v>
                </c:pt>
                <c:pt idx="11">
                  <c:v>-0.83677866894642139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B725-2A4A-A374-400F9A5CC6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112448"/>
        <c:axId val="104099936"/>
      </c:scatterChart>
      <c:valAx>
        <c:axId val="104112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099936"/>
        <c:crosses val="autoZero"/>
        <c:crossBetween val="midCat"/>
      </c:valAx>
      <c:valAx>
        <c:axId val="104099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112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3"/>
          <c:order val="0"/>
          <c:tx>
            <c:v>Relative Charge</c:v>
          </c:tx>
          <c:spPr>
            <a:ln>
              <a:solidFill>
                <a:schemeClr val="accent1"/>
              </a:solidFill>
            </a:ln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chemeClr val="accent2"/>
                </a:solidFill>
                <a:prstDash val="dash"/>
              </a:ln>
            </c:spPr>
            <c:trendlineType val="exp"/>
            <c:intercept val="100"/>
            <c:dispRSqr val="0"/>
            <c:dispEq val="1"/>
            <c:trendlineLbl>
              <c:layout>
                <c:manualLayout>
                  <c:x val="-0.12264329891768629"/>
                  <c:y val="-2.0767832436373458E-2"/>
                </c:manualLayout>
              </c:layout>
              <c:numFmt formatCode="General" sourceLinked="0"/>
            </c:trendlineLbl>
          </c:trendline>
          <c:xVal>
            <c:numRef>
              <c:f>'CNW15 (CP2)'!$N$6:$N$14</c:f>
              <c:numCache>
                <c:formatCode>General</c:formatCode>
                <c:ptCount val="9"/>
                <c:pt idx="0">
                  <c:v>0</c:v>
                </c:pt>
                <c:pt idx="1">
                  <c:v>22</c:v>
                </c:pt>
                <c:pt idx="2">
                  <c:v>46</c:v>
                </c:pt>
                <c:pt idx="3">
                  <c:v>70</c:v>
                </c:pt>
                <c:pt idx="4">
                  <c:v>119</c:v>
                </c:pt>
                <c:pt idx="5">
                  <c:v>127</c:v>
                </c:pt>
                <c:pt idx="6">
                  <c:v>131</c:v>
                </c:pt>
                <c:pt idx="7">
                  <c:v>135</c:v>
                </c:pt>
                <c:pt idx="8">
                  <c:v>139</c:v>
                </c:pt>
              </c:numCache>
            </c:numRef>
          </c:xVal>
          <c:yVal>
            <c:numRef>
              <c:f>'CNW15 (CP2)'!$P$6:$P$14</c:f>
              <c:numCache>
                <c:formatCode>General</c:formatCode>
                <c:ptCount val="9"/>
                <c:pt idx="0">
                  <c:v>100</c:v>
                </c:pt>
                <c:pt idx="1">
                  <c:v>89.584022689671471</c:v>
                </c:pt>
                <c:pt idx="2">
                  <c:v>82.803119829827466</c:v>
                </c:pt>
                <c:pt idx="3">
                  <c:v>74.211770267076332</c:v>
                </c:pt>
                <c:pt idx="4">
                  <c:v>56.36965256440557</c:v>
                </c:pt>
                <c:pt idx="5">
                  <c:v>53.070196171117942</c:v>
                </c:pt>
                <c:pt idx="6">
                  <c:v>52.131883715433716</c:v>
                </c:pt>
                <c:pt idx="7">
                  <c:v>51.949893642164966</c:v>
                </c:pt>
                <c:pt idx="8">
                  <c:v>49.550933585440795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BD6-4FDF-A925-97960F86CCB5}"/>
            </c:ext>
          </c:extLst>
        </c:ser>
        <c:ser>
          <c:idx val="0"/>
          <c:order val="1"/>
          <c:tx>
            <c:v>50% Charged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'CNW15 (CP2)'!$N$6:$N$14</c:f>
              <c:numCache>
                <c:formatCode>General</c:formatCode>
                <c:ptCount val="9"/>
                <c:pt idx="0">
                  <c:v>0</c:v>
                </c:pt>
                <c:pt idx="1">
                  <c:v>22</c:v>
                </c:pt>
                <c:pt idx="2">
                  <c:v>46</c:v>
                </c:pt>
                <c:pt idx="3">
                  <c:v>70</c:v>
                </c:pt>
                <c:pt idx="4">
                  <c:v>119</c:v>
                </c:pt>
                <c:pt idx="5">
                  <c:v>127</c:v>
                </c:pt>
                <c:pt idx="6">
                  <c:v>131</c:v>
                </c:pt>
                <c:pt idx="7">
                  <c:v>135</c:v>
                </c:pt>
                <c:pt idx="8">
                  <c:v>139</c:v>
                </c:pt>
              </c:numCache>
            </c:numRef>
          </c:xVal>
          <c:yVal>
            <c:numRef>
              <c:f>'CNW15 (CP2)'!$K$6:$K$14</c:f>
              <c:numCache>
                <c:formatCode>General</c:formatCode>
                <c:ptCount val="9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BD6-4FDF-A925-97960F86CC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723184"/>
        <c:axId val="573750304"/>
      </c:scatterChart>
      <c:valAx>
        <c:axId val="662723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b="0"/>
                  <a:t>Time (hours)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750304"/>
        <c:crosses val="autoZero"/>
        <c:crossBetween val="midCat"/>
      </c:valAx>
      <c:valAx>
        <c:axId val="573750304"/>
        <c:scaling>
          <c:orientation val="minMax"/>
          <c:max val="100"/>
          <c:min val="3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b="0"/>
                  <a:t>Relative Charge %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723184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3760490229338981E-2"/>
                  <c:y val="0.146500406310421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'P1'!$B$7:$B$14</c:f>
              <c:numCache>
                <c:formatCode>0.00</c:formatCode>
                <c:ptCount val="8"/>
                <c:pt idx="0">
                  <c:v>0</c:v>
                </c:pt>
                <c:pt idx="1">
                  <c:v>25.5</c:v>
                </c:pt>
                <c:pt idx="2">
                  <c:v>71.599999999999994</c:v>
                </c:pt>
                <c:pt idx="3">
                  <c:v>95.88333333333334</c:v>
                </c:pt>
                <c:pt idx="4">
                  <c:v>119.26666666666667</c:v>
                </c:pt>
                <c:pt idx="5">
                  <c:v>143.46666666666667</c:v>
                </c:pt>
                <c:pt idx="6">
                  <c:v>166.85</c:v>
                </c:pt>
                <c:pt idx="7">
                  <c:v>194.83333333333334</c:v>
                </c:pt>
              </c:numCache>
            </c:numRef>
          </c:xVal>
          <c:yVal>
            <c:numRef>
              <c:f>'P1'!$K$7:$K$14</c:f>
              <c:numCache>
                <c:formatCode>0.00</c:formatCode>
                <c:ptCount val="8"/>
                <c:pt idx="0">
                  <c:v>-0.28249285337295221</c:v>
                </c:pt>
                <c:pt idx="1">
                  <c:v>-0.38281198649345205</c:v>
                </c:pt>
                <c:pt idx="2">
                  <c:v>-0.56074244415568564</c:v>
                </c:pt>
                <c:pt idx="3">
                  <c:v>-0.66331419503532485</c:v>
                </c:pt>
                <c:pt idx="4">
                  <c:v>-0.7663104782604846</c:v>
                </c:pt>
                <c:pt idx="5">
                  <c:v>-0.86914683929599101</c:v>
                </c:pt>
                <c:pt idx="6">
                  <c:v>-0.96274760070971954</c:v>
                </c:pt>
                <c:pt idx="7">
                  <c:v>-1.074409120796828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8F-441E-8537-539778E09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5808207"/>
        <c:axId val="1306430255"/>
      </c:scatterChart>
      <c:valAx>
        <c:axId val="1305808207"/>
        <c:scaling>
          <c:orientation val="minMax"/>
          <c:max val="200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6430255"/>
        <c:crosses val="autoZero"/>
        <c:crossBetween val="midCat"/>
      </c:valAx>
      <c:valAx>
        <c:axId val="1306430255"/>
        <c:scaling>
          <c:orientation val="minMax"/>
          <c:max val="-0.2"/>
          <c:min val="-1.2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58082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Halflife of STF co-polymer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spPr>
            <a:ln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0"/>
            <c:marker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640D-4351-9EA2-30FA5B1DA8EE}"/>
              </c:ext>
            </c:extLst>
          </c:dPt>
          <c:dPt>
            <c:idx val="1"/>
            <c:marker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640D-4351-9EA2-30FA5B1DA8EE}"/>
              </c:ext>
            </c:extLst>
          </c:dPt>
          <c:dPt>
            <c:idx val="2"/>
            <c:marker>
              <c:spPr>
                <a:solidFill>
                  <a:schemeClr val="accent6">
                    <a:lumMod val="75000"/>
                  </a:schemeClr>
                </a:solidFill>
                <a:ln w="9525"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640D-4351-9EA2-30FA5B1DA8EE}"/>
              </c:ext>
            </c:extLst>
          </c:dPt>
          <c:dPt>
            <c:idx val="3"/>
            <c:marker>
              <c:spPr>
                <a:solidFill>
                  <a:srgbClr val="7030A0"/>
                </a:solidFill>
                <a:ln w="9525">
                  <a:solidFill>
                    <a:srgbClr val="7030A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640D-4351-9EA2-30FA5B1DA8EE}"/>
              </c:ext>
            </c:extLst>
          </c:dPt>
          <c:dPt>
            <c:idx val="4"/>
            <c:marker>
              <c:spPr>
                <a:solidFill>
                  <a:schemeClr val="accent4"/>
                </a:solidFill>
                <a:ln w="9525">
                  <a:solidFill>
                    <a:schemeClr val="accent4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640D-4351-9EA2-30FA5B1DA8EE}"/>
              </c:ext>
            </c:extLst>
          </c:dPt>
          <c:dPt>
            <c:idx val="6"/>
            <c:marker>
              <c:spPr>
                <a:solidFill>
                  <a:schemeClr val="accent6">
                    <a:lumMod val="40000"/>
                    <a:lumOff val="60000"/>
                  </a:schemeClr>
                </a:solidFill>
                <a:ln w="9525">
                  <a:solidFill>
                    <a:schemeClr val="accent6">
                      <a:lumMod val="40000"/>
                      <a:lumOff val="6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640D-4351-9EA2-30FA5B1DA8EE}"/>
              </c:ext>
            </c:extLst>
          </c:dPt>
          <c:dPt>
            <c:idx val="7"/>
            <c:marker>
              <c:spPr>
                <a:solidFill>
                  <a:schemeClr val="accent2">
                    <a:lumMod val="40000"/>
                    <a:lumOff val="60000"/>
                  </a:schemeClr>
                </a:solidFill>
                <a:ln w="9525">
                  <a:solidFill>
                    <a:schemeClr val="accent2">
                      <a:lumMod val="40000"/>
                      <a:lumOff val="6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640D-4351-9EA2-30FA5B1DA8EE}"/>
              </c:ext>
            </c:extLst>
          </c:dPt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og"/>
            <c:dispRSqr val="0"/>
            <c:dispEq val="1"/>
            <c:trendlineLbl>
              <c:numFmt formatCode="General" sourceLinked="0"/>
            </c:trendlineLbl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og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trendlineType val="log"/>
            <c:dispRSqr val="0"/>
            <c:dispEq val="1"/>
            <c:trendlineLbl>
              <c:numFmt formatCode="General" sourceLinked="0"/>
            </c:trendlineLbl>
          </c:trendline>
          <c:trendline>
            <c:spPr>
              <a:ln>
                <a:solidFill>
                  <a:schemeClr val="accent6">
                    <a:lumMod val="60000"/>
                    <a:lumOff val="40000"/>
                  </a:schemeClr>
                </a:solidFill>
              </a:ln>
            </c:spPr>
            <c:trendlineType val="exp"/>
            <c:dispRSqr val="0"/>
            <c:dispEq val="1"/>
            <c:trendlineLbl>
              <c:layout>
                <c:manualLayout>
                  <c:x val="-8.8325517406816156E-2"/>
                  <c:y val="-2.6137481986658979E-3"/>
                </c:manualLayout>
              </c:layout>
              <c:numFmt formatCode="General" sourceLinked="0"/>
            </c:trendlineLbl>
          </c:trendline>
          <c:xVal>
            <c:numRef>
              <c:f>'CNW15 (CP2)'!$S$6:$S$13</c:f>
              <c:numCache>
                <c:formatCode>General</c:formatCode>
                <c:ptCount val="8"/>
                <c:pt idx="0">
                  <c:v>0</c:v>
                </c:pt>
                <c:pt idx="1">
                  <c:v>22</c:v>
                </c:pt>
                <c:pt idx="2">
                  <c:v>46</c:v>
                </c:pt>
                <c:pt idx="3">
                  <c:v>70</c:v>
                </c:pt>
                <c:pt idx="4">
                  <c:v>119</c:v>
                </c:pt>
                <c:pt idx="5">
                  <c:v>127</c:v>
                </c:pt>
                <c:pt idx="6">
                  <c:v>131</c:v>
                </c:pt>
                <c:pt idx="7">
                  <c:v>139</c:v>
                </c:pt>
              </c:numCache>
            </c:numRef>
          </c:xVal>
          <c:yVal>
            <c:numRef>
              <c:f>'CNW15 (CP2)'!$U$6:$U$13</c:f>
              <c:numCache>
                <c:formatCode>General</c:formatCode>
                <c:ptCount val="8"/>
                <c:pt idx="0">
                  <c:v>100</c:v>
                </c:pt>
                <c:pt idx="1">
                  <c:v>89.584022689671471</c:v>
                </c:pt>
                <c:pt idx="2">
                  <c:v>82.803119829827466</c:v>
                </c:pt>
                <c:pt idx="3">
                  <c:v>74.211770267076332</c:v>
                </c:pt>
                <c:pt idx="4">
                  <c:v>56.36965256440557</c:v>
                </c:pt>
                <c:pt idx="5">
                  <c:v>53.070196171117942</c:v>
                </c:pt>
                <c:pt idx="6">
                  <c:v>52.131883715433716</c:v>
                </c:pt>
                <c:pt idx="7">
                  <c:v>49.550933585440795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640D-4351-9EA2-30FA5B1DA8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723184"/>
        <c:axId val="573750304"/>
      </c:scatterChart>
      <c:valAx>
        <c:axId val="662723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(hours)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750304"/>
        <c:crosses val="autoZero"/>
        <c:crossBetween val="midCat"/>
      </c:valAx>
      <c:valAx>
        <c:axId val="573750304"/>
        <c:scaling>
          <c:orientation val="minMax"/>
          <c:max val="1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% initial Charge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723184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773565405200083"/>
                  <c:y val="-8.1498027217077173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'CNW15 (CP2)'!$N$6:$N$14</c:f>
              <c:numCache>
                <c:formatCode>General</c:formatCode>
                <c:ptCount val="9"/>
                <c:pt idx="0">
                  <c:v>0</c:v>
                </c:pt>
                <c:pt idx="1">
                  <c:v>22</c:v>
                </c:pt>
                <c:pt idx="2">
                  <c:v>46</c:v>
                </c:pt>
                <c:pt idx="3">
                  <c:v>70</c:v>
                </c:pt>
                <c:pt idx="4">
                  <c:v>119</c:v>
                </c:pt>
                <c:pt idx="5">
                  <c:v>127</c:v>
                </c:pt>
                <c:pt idx="6">
                  <c:v>131</c:v>
                </c:pt>
                <c:pt idx="7">
                  <c:v>135</c:v>
                </c:pt>
                <c:pt idx="8">
                  <c:v>139</c:v>
                </c:pt>
              </c:numCache>
            </c:numRef>
          </c:xVal>
          <c:yVal>
            <c:numRef>
              <c:f>'CNW15 (CP2)'!$Q$6:$Q$14</c:f>
              <c:numCache>
                <c:formatCode>0.00</c:formatCode>
                <c:ptCount val="9"/>
                <c:pt idx="0">
                  <c:v>0</c:v>
                </c:pt>
                <c:pt idx="1">
                  <c:v>-0.36406835732504733</c:v>
                </c:pt>
                <c:pt idx="2">
                  <c:v>-0.60277893719082354</c:v>
                </c:pt>
                <c:pt idx="3">
                  <c:v>-0.85996771018626983</c:v>
                </c:pt>
                <c:pt idx="4">
                  <c:v>-1.4222642052877876</c:v>
                </c:pt>
                <c:pt idx="5">
                  <c:v>-1.4916303605680559</c:v>
                </c:pt>
                <c:pt idx="6">
                  <c:v>-1.5269504164674899</c:v>
                </c:pt>
                <c:pt idx="7">
                  <c:v>-1.5743374202609957</c:v>
                </c:pt>
                <c:pt idx="8">
                  <c:v>-1.6109751715557628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7A0-44C6-88BC-1922B4259C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5070912"/>
        <c:axId val="569666864"/>
      </c:scatterChart>
      <c:valAx>
        <c:axId val="1975070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666864"/>
        <c:crosses val="autoZero"/>
        <c:crossBetween val="midCat"/>
      </c:valAx>
      <c:valAx>
        <c:axId val="569666864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5070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'CNW16 (CP1)'!$M$6:$M$8</c:f>
              <c:numCache>
                <c:formatCode>General</c:formatCode>
                <c:ptCount val="3"/>
                <c:pt idx="0">
                  <c:v>0</c:v>
                </c:pt>
                <c:pt idx="1">
                  <c:v>24</c:v>
                </c:pt>
                <c:pt idx="2">
                  <c:v>46</c:v>
                </c:pt>
              </c:numCache>
            </c:numRef>
          </c:xVal>
          <c:yVal>
            <c:numRef>
              <c:f>'CNW16 (CP1)'!$N$6:$N$8</c:f>
              <c:numCache>
                <c:formatCode>General</c:formatCode>
                <c:ptCount val="3"/>
                <c:pt idx="0">
                  <c:v>2.6467511333255844</c:v>
                </c:pt>
                <c:pt idx="1">
                  <c:v>2.0987282292251903</c:v>
                </c:pt>
                <c:pt idx="2">
                  <c:v>1.7596465521069224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74-4E98-AB44-8B28EC5621D8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og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og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exp"/>
            <c:dispRSqr val="0"/>
            <c:dispEq val="1"/>
            <c:trendlineLbl>
              <c:layout>
                <c:manualLayout>
                  <c:x val="6.0130980559945348E-2"/>
                  <c:y val="-0.1596441827232010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200" baseline="0"/>
                      <a:t>y = 100e</a:t>
                    </a:r>
                    <a:r>
                      <a:rPr lang="en-US" sz="1200" baseline="30000"/>
                      <a:t>-0.005x</a:t>
                    </a:r>
                    <a:endParaRPr lang="en-US" sz="12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'CNW16 (CP1)'!$M$6:$M$8</c:f>
              <c:numCache>
                <c:formatCode>General</c:formatCode>
                <c:ptCount val="3"/>
                <c:pt idx="0">
                  <c:v>0</c:v>
                </c:pt>
                <c:pt idx="1">
                  <c:v>24</c:v>
                </c:pt>
                <c:pt idx="2">
                  <c:v>46</c:v>
                </c:pt>
              </c:numCache>
            </c:numRef>
          </c:xVal>
          <c:yVal>
            <c:numRef>
              <c:f>'CNW16 (CP1)'!$O$6:$O$8</c:f>
              <c:numCache>
                <c:formatCode>General</c:formatCode>
                <c:ptCount val="3"/>
                <c:pt idx="0">
                  <c:v>100</c:v>
                </c:pt>
                <c:pt idx="1">
                  <c:v>90.230566534914345</c:v>
                </c:pt>
                <c:pt idx="2">
                  <c:v>87.020202020202007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674-4E98-AB44-8B28EC5621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723184"/>
        <c:axId val="573750304"/>
      </c:scatterChart>
      <c:valAx>
        <c:axId val="662723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750304"/>
        <c:crosses val="autoZero"/>
        <c:crossBetween val="midCat"/>
      </c:valAx>
      <c:valAx>
        <c:axId val="57375030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723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6392760279965005"/>
                  <c:y val="9.330745115193933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'CNW16 (CP1)'!$M$6:$M$8</c:f>
              <c:numCache>
                <c:formatCode>General</c:formatCode>
                <c:ptCount val="3"/>
                <c:pt idx="0">
                  <c:v>0</c:v>
                </c:pt>
                <c:pt idx="1">
                  <c:v>24</c:v>
                </c:pt>
                <c:pt idx="2">
                  <c:v>46</c:v>
                </c:pt>
              </c:numCache>
            </c:numRef>
          </c:xVal>
          <c:yVal>
            <c:numRef>
              <c:f>'CNW16 (CP1)'!$P$6:$P$8</c:f>
              <c:numCache>
                <c:formatCode>General</c:formatCode>
                <c:ptCount val="3"/>
                <c:pt idx="0">
                  <c:v>0.97333290043643728</c:v>
                </c:pt>
                <c:pt idx="1">
                  <c:v>0.74133155614565793</c:v>
                </c:pt>
                <c:pt idx="2">
                  <c:v>0.56511296621596729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9E-416A-8E09-D8A8F33676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6519296"/>
        <c:axId val="889802480"/>
      </c:scatterChart>
      <c:valAx>
        <c:axId val="886519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9802480"/>
        <c:crosses val="autoZero"/>
        <c:crossBetween val="midCat"/>
      </c:valAx>
      <c:valAx>
        <c:axId val="889802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519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4.2563613796987337E-2"/>
                  <c:y val="0.1428886093421896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'P1'!$M$7:$M$13</c:f>
              <c:numCache>
                <c:formatCode>0.00</c:formatCode>
                <c:ptCount val="7"/>
                <c:pt idx="0">
                  <c:v>0</c:v>
                </c:pt>
                <c:pt idx="1">
                  <c:v>20.733333333333334</c:v>
                </c:pt>
                <c:pt idx="2">
                  <c:v>47.7</c:v>
                </c:pt>
                <c:pt idx="3">
                  <c:v>71.8</c:v>
                </c:pt>
                <c:pt idx="4">
                  <c:v>91.15</c:v>
                </c:pt>
                <c:pt idx="5">
                  <c:v>115.31666666666666</c:v>
                </c:pt>
                <c:pt idx="6">
                  <c:v>167.75</c:v>
                </c:pt>
              </c:numCache>
            </c:numRef>
          </c:xVal>
          <c:yVal>
            <c:numRef>
              <c:f>'P1'!$U$7:$U$13</c:f>
              <c:numCache>
                <c:formatCode>General</c:formatCode>
                <c:ptCount val="7"/>
                <c:pt idx="0">
                  <c:v>3.37373710929905</c:v>
                </c:pt>
                <c:pt idx="1">
                  <c:v>3.2525156089524021</c:v>
                </c:pt>
                <c:pt idx="2">
                  <c:v>3.1294542730118771</c:v>
                </c:pt>
                <c:pt idx="3">
                  <c:v>3.0338899218540072</c:v>
                </c:pt>
                <c:pt idx="4">
                  <c:v>2.9386538565142128</c:v>
                </c:pt>
                <c:pt idx="5">
                  <c:v>2.8497060011701496</c:v>
                </c:pt>
                <c:pt idx="6">
                  <c:v>2.6255160590485911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77-445F-85BB-DD25E798D3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5808207"/>
        <c:axId val="1306430255"/>
      </c:scatterChart>
      <c:valAx>
        <c:axId val="1305808207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6430255"/>
        <c:crosses val="autoZero"/>
        <c:crossBetween val="midCat"/>
      </c:valAx>
      <c:valAx>
        <c:axId val="130643025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58082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'P1'!$AA$7:$AA$13</c:f>
              <c:numCache>
                <c:formatCode>General</c:formatCode>
                <c:ptCount val="7"/>
                <c:pt idx="0">
                  <c:v>0</c:v>
                </c:pt>
                <c:pt idx="1">
                  <c:v>20.733333333333334</c:v>
                </c:pt>
                <c:pt idx="2">
                  <c:v>47.7</c:v>
                </c:pt>
                <c:pt idx="3">
                  <c:v>71.8</c:v>
                </c:pt>
                <c:pt idx="4">
                  <c:v>91.15</c:v>
                </c:pt>
                <c:pt idx="5">
                  <c:v>115.31666666666666</c:v>
                </c:pt>
                <c:pt idx="6">
                  <c:v>167.75</c:v>
                </c:pt>
              </c:numCache>
            </c:numRef>
          </c:xVal>
          <c:yVal>
            <c:numRef>
              <c:f>'P1'!$AB$7:$AB$13</c:f>
              <c:numCache>
                <c:formatCode>0.00</c:formatCode>
                <c:ptCount val="7"/>
                <c:pt idx="0">
                  <c:v>-0.42027458441971693</c:v>
                </c:pt>
                <c:pt idx="1">
                  <c:v>-0.54025302894127836</c:v>
                </c:pt>
                <c:pt idx="2">
                  <c:v>-0.65908271563294696</c:v>
                </c:pt>
                <c:pt idx="3">
                  <c:v>-0.75652122733026206</c:v>
                </c:pt>
                <c:pt idx="4">
                  <c:v>-0.84830693419983427</c:v>
                </c:pt>
                <c:pt idx="5">
                  <c:v>-0.94021490485951542</c:v>
                </c:pt>
                <c:pt idx="6">
                  <c:v>-1.16031087013359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E0-4E16-BB4A-A28A790E20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123280"/>
        <c:axId val="1806629856"/>
      </c:scatterChart>
      <c:valAx>
        <c:axId val="323123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6629856"/>
        <c:crosses val="autoZero"/>
        <c:crossBetween val="midCat"/>
      </c:valAx>
      <c:valAx>
        <c:axId val="180662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3123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428258967629047E-2"/>
          <c:y val="0.14856481481481484"/>
          <c:w val="0.8699050743657043"/>
          <c:h val="0.7773611111111110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'P1'!$AD$20:$AD$27</c:f>
              <c:numCache>
                <c:formatCode>General</c:formatCode>
                <c:ptCount val="8"/>
                <c:pt idx="0">
                  <c:v>0</c:v>
                </c:pt>
                <c:pt idx="1">
                  <c:v>25.5</c:v>
                </c:pt>
                <c:pt idx="2">
                  <c:v>71.599999999999994</c:v>
                </c:pt>
                <c:pt idx="3">
                  <c:v>95.88333333333334</c:v>
                </c:pt>
                <c:pt idx="4">
                  <c:v>119.26666666666667</c:v>
                </c:pt>
                <c:pt idx="5">
                  <c:v>143.46666666666667</c:v>
                </c:pt>
                <c:pt idx="6">
                  <c:v>166.85</c:v>
                </c:pt>
                <c:pt idx="7">
                  <c:v>194.83333333333334</c:v>
                </c:pt>
              </c:numCache>
            </c:numRef>
          </c:xVal>
          <c:yVal>
            <c:numRef>
              <c:f>'P1'!$AE$20:$AE$27</c:f>
              <c:numCache>
                <c:formatCode>General</c:formatCode>
                <c:ptCount val="8"/>
                <c:pt idx="0">
                  <c:v>-0.28249285337295221</c:v>
                </c:pt>
                <c:pt idx="1">
                  <c:v>-0.38281198649345205</c:v>
                </c:pt>
                <c:pt idx="2">
                  <c:v>-0.56074244415568597</c:v>
                </c:pt>
                <c:pt idx="3">
                  <c:v>-0.66331419503532485</c:v>
                </c:pt>
                <c:pt idx="4">
                  <c:v>-0.7663104782604846</c:v>
                </c:pt>
                <c:pt idx="5">
                  <c:v>-0.86914683929599101</c:v>
                </c:pt>
                <c:pt idx="6">
                  <c:v>-0.96274760070971954</c:v>
                </c:pt>
                <c:pt idx="7">
                  <c:v>-1.074409120796828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CF-4711-93EB-13FB18F97D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0801152"/>
        <c:axId val="1888812368"/>
      </c:scatterChart>
      <c:valAx>
        <c:axId val="800801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8812368"/>
        <c:crosses val="autoZero"/>
        <c:crossBetween val="midCat"/>
      </c:valAx>
      <c:valAx>
        <c:axId val="188881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0801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Half life as</a:t>
            </a:r>
            <a:r>
              <a:rPr lang="en-US" baseline="0"/>
              <a:t> solid</a:t>
            </a:r>
            <a:r>
              <a:rPr lang="en-US"/>
              <a:t> P1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P1 solid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0"/>
          </c:trendline>
          <c:xVal>
            <c:numRef>
              <c:f>'P1'!$M$7:$M$13</c:f>
              <c:numCache>
                <c:formatCode>0.00</c:formatCode>
                <c:ptCount val="7"/>
                <c:pt idx="0">
                  <c:v>0</c:v>
                </c:pt>
                <c:pt idx="1">
                  <c:v>20.733333333333334</c:v>
                </c:pt>
                <c:pt idx="2">
                  <c:v>47.7</c:v>
                </c:pt>
                <c:pt idx="3">
                  <c:v>71.8</c:v>
                </c:pt>
                <c:pt idx="4">
                  <c:v>91.15</c:v>
                </c:pt>
                <c:pt idx="5">
                  <c:v>115.31666666666666</c:v>
                </c:pt>
                <c:pt idx="6">
                  <c:v>167.75</c:v>
                </c:pt>
              </c:numCache>
            </c:numRef>
          </c:xVal>
          <c:yVal>
            <c:numRef>
              <c:f>'P1'!$T$7:$T$13</c:f>
              <c:numCache>
                <c:formatCode>0.00</c:formatCode>
                <c:ptCount val="7"/>
                <c:pt idx="0">
                  <c:v>100</c:v>
                </c:pt>
                <c:pt idx="1">
                  <c:v>88.693955491755801</c:v>
                </c:pt>
                <c:pt idx="2">
                  <c:v>78.756597720558091</c:v>
                </c:pt>
                <c:pt idx="3">
                  <c:v>71.444687082774465</c:v>
                </c:pt>
                <c:pt idx="4">
                  <c:v>65.179032918384465</c:v>
                </c:pt>
                <c:pt idx="5">
                  <c:v>59.455602975378596</c:v>
                </c:pt>
                <c:pt idx="6">
                  <c:v>47.709660341610387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27C-4F07-BC10-0FA31937138E}"/>
            </c:ext>
          </c:extLst>
        </c:ser>
        <c:ser>
          <c:idx val="2"/>
          <c:order val="1"/>
          <c:tx>
            <c:v>50%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'P1'!$N$22:$N$23</c:f>
              <c:numCache>
                <c:formatCode>General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xVal>
          <c:yVal>
            <c:numRef>
              <c:f>'P1'!$O$22:$O$23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27C-4F07-BC10-0FA3193713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002576"/>
        <c:axId val="644103872"/>
      </c:scatterChart>
      <c:valAx>
        <c:axId val="644002576"/>
        <c:scaling>
          <c:orientation val="minMax"/>
          <c:max val="200"/>
          <c:min val="0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103872"/>
        <c:crosses val="autoZero"/>
        <c:crossBetween val="midCat"/>
      </c:valAx>
      <c:valAx>
        <c:axId val="644103872"/>
        <c:scaling>
          <c:orientation val="minMax"/>
          <c:max val="110"/>
          <c:min val="0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025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91296249590477774"/>
          <c:y val="0.66142098943038619"/>
          <c:w val="8.7037499119500761E-2"/>
          <c:h val="0.190290632268803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1.xml"/><Relationship Id="rId2" Type="http://schemas.openxmlformats.org/officeDocument/2006/relationships/chart" Target="../charts/chart50.xml"/><Relationship Id="rId1" Type="http://schemas.openxmlformats.org/officeDocument/2006/relationships/chart" Target="../charts/chart49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3.xml"/><Relationship Id="rId1" Type="http://schemas.openxmlformats.org/officeDocument/2006/relationships/chart" Target="../charts/chart5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6" Type="http://schemas.openxmlformats.org/officeDocument/2006/relationships/chart" Target="../charts/chart21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6" Type="http://schemas.openxmlformats.org/officeDocument/2006/relationships/chart" Target="../charts/chart27.xml"/><Relationship Id="rId5" Type="http://schemas.openxmlformats.org/officeDocument/2006/relationships/chart" Target="../charts/chart26.xml"/><Relationship Id="rId4" Type="http://schemas.openxmlformats.org/officeDocument/2006/relationships/chart" Target="../charts/chart2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7" Type="http://schemas.openxmlformats.org/officeDocument/2006/relationships/chart" Target="../charts/chart34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Relationship Id="rId6" Type="http://schemas.openxmlformats.org/officeDocument/2006/relationships/chart" Target="../charts/chart33.xml"/><Relationship Id="rId5" Type="http://schemas.openxmlformats.org/officeDocument/2006/relationships/chart" Target="../charts/chart32.xml"/><Relationship Id="rId4" Type="http://schemas.openxmlformats.org/officeDocument/2006/relationships/chart" Target="../charts/chart3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4.xml"/><Relationship Id="rId3" Type="http://schemas.openxmlformats.org/officeDocument/2006/relationships/chart" Target="../charts/chart39.xml"/><Relationship Id="rId7" Type="http://schemas.openxmlformats.org/officeDocument/2006/relationships/chart" Target="../charts/chart43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Relationship Id="rId6" Type="http://schemas.openxmlformats.org/officeDocument/2006/relationships/chart" Target="../charts/chart42.xml"/><Relationship Id="rId11" Type="http://schemas.openxmlformats.org/officeDocument/2006/relationships/chart" Target="../charts/chart47.xml"/><Relationship Id="rId5" Type="http://schemas.openxmlformats.org/officeDocument/2006/relationships/chart" Target="../charts/chart41.xml"/><Relationship Id="rId10" Type="http://schemas.openxmlformats.org/officeDocument/2006/relationships/chart" Target="../charts/chart46.xml"/><Relationship Id="rId4" Type="http://schemas.openxmlformats.org/officeDocument/2006/relationships/chart" Target="../charts/chart40.xml"/><Relationship Id="rId9" Type="http://schemas.openxmlformats.org/officeDocument/2006/relationships/chart" Target="../charts/chart4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14</xdr:row>
      <xdr:rowOff>152400</xdr:rowOff>
    </xdr:from>
    <xdr:to>
      <xdr:col>11</xdr:col>
      <xdr:colOff>327660</xdr:colOff>
      <xdr:row>29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5D74050-EEED-499D-8BD4-790E38D303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15</xdr:row>
      <xdr:rowOff>0</xdr:rowOff>
    </xdr:from>
    <xdr:to>
      <xdr:col>19</xdr:col>
      <xdr:colOff>304800</xdr:colOff>
      <xdr:row>29</xdr:row>
      <xdr:rowOff>180473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4C2D28B-A910-4DA8-8ACB-BC4C4DC483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133350</xdr:colOff>
      <xdr:row>1</xdr:row>
      <xdr:rowOff>168275</xdr:rowOff>
    </xdr:from>
    <xdr:to>
      <xdr:col>30</xdr:col>
      <xdr:colOff>641350</xdr:colOff>
      <xdr:row>41</xdr:row>
      <xdr:rowOff>117475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E28ED7-E761-F4A4-0857-E17F9A23A8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766799</xdr:colOff>
      <xdr:row>19</xdr:row>
      <xdr:rowOff>108628</xdr:rowOff>
    </xdr:from>
    <xdr:to>
      <xdr:col>10</xdr:col>
      <xdr:colOff>582649</xdr:colOff>
      <xdr:row>45</xdr:row>
      <xdr:rowOff>38779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4E944F-90F2-40CE-B6E3-CA6B16885C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141405</xdr:colOff>
      <xdr:row>21</xdr:row>
      <xdr:rowOff>164932</xdr:rowOff>
    </xdr:from>
    <xdr:to>
      <xdr:col>20</xdr:col>
      <xdr:colOff>811397</xdr:colOff>
      <xdr:row>47</xdr:row>
      <xdr:rowOff>96988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5E964CE-84BE-4320-87ED-CCE21AFAC6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631339</xdr:colOff>
      <xdr:row>8</xdr:row>
      <xdr:rowOff>87070</xdr:rowOff>
    </xdr:from>
    <xdr:to>
      <xdr:col>29</xdr:col>
      <xdr:colOff>24317</xdr:colOff>
      <xdr:row>22</xdr:row>
      <xdr:rowOff>6388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BE3E01B-DC7E-49FF-8FF7-71480D8309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476250</xdr:colOff>
      <xdr:row>14</xdr:row>
      <xdr:rowOff>107950</xdr:rowOff>
    </xdr:from>
    <xdr:to>
      <xdr:col>14</xdr:col>
      <xdr:colOff>292100</xdr:colOff>
      <xdr:row>40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45C5AB0-B3D7-46BF-933E-8457DA7096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599378</xdr:colOff>
      <xdr:row>5</xdr:row>
      <xdr:rowOff>161692</xdr:rowOff>
    </xdr:from>
    <xdr:to>
      <xdr:col>22</xdr:col>
      <xdr:colOff>41817</xdr:colOff>
      <xdr:row>19</xdr:row>
      <xdr:rowOff>172844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8E84024-9053-45D1-9D1B-876D5E71D7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57729</xdr:colOff>
      <xdr:row>16</xdr:row>
      <xdr:rowOff>184151</xdr:rowOff>
    </xdr:from>
    <xdr:to>
      <xdr:col>21</xdr:col>
      <xdr:colOff>28864</xdr:colOff>
      <xdr:row>48</xdr:row>
      <xdr:rowOff>28864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D87E0F-2B16-9A49-B234-5B074A460D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47</xdr:row>
      <xdr:rowOff>0</xdr:rowOff>
    </xdr:from>
    <xdr:to>
      <xdr:col>19</xdr:col>
      <xdr:colOff>793749</xdr:colOff>
      <xdr:row>78</xdr:row>
      <xdr:rowOff>46759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242BC87-08FA-E44A-89ED-1EBF3B2886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827942</xdr:colOff>
      <xdr:row>17</xdr:row>
      <xdr:rowOff>5862</xdr:rowOff>
    </xdr:from>
    <xdr:to>
      <xdr:col>27</xdr:col>
      <xdr:colOff>300404</xdr:colOff>
      <xdr:row>30</xdr:row>
      <xdr:rowOff>82062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4E0F2ED-38FA-40F9-A1ED-B472279902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702624</xdr:colOff>
      <xdr:row>35</xdr:row>
      <xdr:rowOff>178335</xdr:rowOff>
    </xdr:from>
    <xdr:to>
      <xdr:col>27</xdr:col>
      <xdr:colOff>183003</xdr:colOff>
      <xdr:row>49</xdr:row>
      <xdr:rowOff>56097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849CDB9-FAE5-4962-B7C8-DB11F9FA68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29</xdr:col>
      <xdr:colOff>317659</xdr:colOff>
      <xdr:row>1</xdr:row>
      <xdr:rowOff>140495</xdr:rowOff>
    </xdr:from>
    <xdr:to>
      <xdr:col>34</xdr:col>
      <xdr:colOff>607219</xdr:colOff>
      <xdr:row>15</xdr:row>
      <xdr:rowOff>46197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7ACAB64-71D5-4E5F-9B12-5B4E17138C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31</xdr:col>
      <xdr:colOff>398584</xdr:colOff>
      <xdr:row>17</xdr:row>
      <xdr:rowOff>93785</xdr:rowOff>
    </xdr:from>
    <xdr:to>
      <xdr:col>36</xdr:col>
      <xdr:colOff>691661</xdr:colOff>
      <xdr:row>31</xdr:row>
      <xdr:rowOff>46892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F083AB0-A9D0-48DC-92EE-4D653CCBB6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29</xdr:col>
      <xdr:colOff>308777</xdr:colOff>
      <xdr:row>48</xdr:row>
      <xdr:rowOff>98767</xdr:rowOff>
    </xdr:from>
    <xdr:to>
      <xdr:col>36</xdr:col>
      <xdr:colOff>176893</xdr:colOff>
      <xdr:row>65</xdr:row>
      <xdr:rowOff>73269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8272BAA8-4D84-4E17-BD76-985717C666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57729</xdr:colOff>
      <xdr:row>16</xdr:row>
      <xdr:rowOff>184151</xdr:rowOff>
    </xdr:from>
    <xdr:to>
      <xdr:col>20</xdr:col>
      <xdr:colOff>28864</xdr:colOff>
      <xdr:row>48</xdr:row>
      <xdr:rowOff>28864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7DAF03-4167-0A43-8DF8-D5AB62393F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410882</xdr:colOff>
      <xdr:row>15</xdr:row>
      <xdr:rowOff>139700</xdr:rowOff>
    </xdr:from>
    <xdr:to>
      <xdr:col>31</xdr:col>
      <xdr:colOff>114299</xdr:colOff>
      <xdr:row>32</xdr:row>
      <xdr:rowOff>56777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F6032D0-09BA-4154-9DA3-06ADB081A7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22</xdr:row>
      <xdr:rowOff>0</xdr:rowOff>
    </xdr:from>
    <xdr:to>
      <xdr:col>53</xdr:col>
      <xdr:colOff>275166</xdr:colOff>
      <xdr:row>37</xdr:row>
      <xdr:rowOff>44450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4789954-0CA2-4AAD-B83A-E0ED8B8ECC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37</xdr:col>
      <xdr:colOff>0</xdr:colOff>
      <xdr:row>21</xdr:row>
      <xdr:rowOff>0</xdr:rowOff>
    </xdr:from>
    <xdr:to>
      <xdr:col>44</xdr:col>
      <xdr:colOff>275167</xdr:colOff>
      <xdr:row>36</xdr:row>
      <xdr:rowOff>44450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35120E6-217D-4797-A22E-29F7126196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63</xdr:col>
      <xdr:colOff>293077</xdr:colOff>
      <xdr:row>16</xdr:row>
      <xdr:rowOff>82061</xdr:rowOff>
    </xdr:from>
    <xdr:to>
      <xdr:col>70</xdr:col>
      <xdr:colOff>568244</xdr:colOff>
      <xdr:row>31</xdr:row>
      <xdr:rowOff>126511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5A5BD95B-75C8-428F-9EC5-A37FD2F99C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72</xdr:col>
      <xdr:colOff>522020</xdr:colOff>
      <xdr:row>7</xdr:row>
      <xdr:rowOff>109415</xdr:rowOff>
    </xdr:from>
    <xdr:to>
      <xdr:col>77</xdr:col>
      <xdr:colOff>793898</xdr:colOff>
      <xdr:row>21</xdr:row>
      <xdr:rowOff>99043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12EA1CE-3254-404A-A58B-0028092105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16</xdr:row>
      <xdr:rowOff>114300</xdr:rowOff>
    </xdr:from>
    <xdr:to>
      <xdr:col>22</xdr:col>
      <xdr:colOff>199224</xdr:colOff>
      <xdr:row>44</xdr:row>
      <xdr:rowOff>68331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682F791-F5D5-DF4D-A940-295582321D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46</xdr:row>
      <xdr:rowOff>0</xdr:rowOff>
    </xdr:from>
    <xdr:to>
      <xdr:col>21</xdr:col>
      <xdr:colOff>796124</xdr:colOff>
      <xdr:row>73</xdr:row>
      <xdr:rowOff>157231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EBE9D6A-A3DC-754A-8926-09D25BC5ED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77</xdr:row>
      <xdr:rowOff>0</xdr:rowOff>
    </xdr:from>
    <xdr:to>
      <xdr:col>21</xdr:col>
      <xdr:colOff>815002</xdr:colOff>
      <xdr:row>104</xdr:row>
      <xdr:rowOff>159978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86ADB70-BF60-4FFC-9443-8CC0C140F7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21648</xdr:colOff>
      <xdr:row>1</xdr:row>
      <xdr:rowOff>108238</xdr:rowOff>
    </xdr:from>
    <xdr:to>
      <xdr:col>52</xdr:col>
      <xdr:colOff>815867</xdr:colOff>
      <xdr:row>29</xdr:row>
      <xdr:rowOff>72545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0DAE4AC-DE5D-4A42-BDF4-AE3314324A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27</xdr:col>
      <xdr:colOff>305726</xdr:colOff>
      <xdr:row>14</xdr:row>
      <xdr:rowOff>201363</xdr:rowOff>
    </xdr:from>
    <xdr:to>
      <xdr:col>32</xdr:col>
      <xdr:colOff>563828</xdr:colOff>
      <xdr:row>28</xdr:row>
      <xdr:rowOff>68940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BB5B14A-9F8A-4A14-8BA0-CE5FCF9FF4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27</xdr:col>
      <xdr:colOff>0</xdr:colOff>
      <xdr:row>36</xdr:row>
      <xdr:rowOff>0</xdr:rowOff>
    </xdr:from>
    <xdr:to>
      <xdr:col>32</xdr:col>
      <xdr:colOff>258102</xdr:colOff>
      <xdr:row>49</xdr:row>
      <xdr:rowOff>58077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D2BB7BA-A1ED-45C6-B8EE-CA23FB4B29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14</xdr:row>
      <xdr:rowOff>0</xdr:rowOff>
    </xdr:from>
    <xdr:to>
      <xdr:col>20</xdr:col>
      <xdr:colOff>756563</xdr:colOff>
      <xdr:row>41</xdr:row>
      <xdr:rowOff>132056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B89CE38-85A0-B24D-9497-2780957325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43</xdr:row>
      <xdr:rowOff>0</xdr:rowOff>
    </xdr:from>
    <xdr:to>
      <xdr:col>20</xdr:col>
      <xdr:colOff>756563</xdr:colOff>
      <xdr:row>70</xdr:row>
      <xdr:rowOff>132056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A485A3B-7A2D-3646-9643-76DC2D9A48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73</xdr:row>
      <xdr:rowOff>0</xdr:rowOff>
    </xdr:from>
    <xdr:to>
      <xdr:col>20</xdr:col>
      <xdr:colOff>756563</xdr:colOff>
      <xdr:row>100</xdr:row>
      <xdr:rowOff>132056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5C27A1E-DF6F-47E1-9C43-9127D08975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1</xdr:colOff>
      <xdr:row>24</xdr:row>
      <xdr:rowOff>0</xdr:rowOff>
    </xdr:from>
    <xdr:to>
      <xdr:col>37</xdr:col>
      <xdr:colOff>583661</xdr:colOff>
      <xdr:row>46</xdr:row>
      <xdr:rowOff>178340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03F06DD-99B1-4EAC-B5D8-F32787F4F9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31</xdr:col>
      <xdr:colOff>19140</xdr:colOff>
      <xdr:row>3</xdr:row>
      <xdr:rowOff>93504</xdr:rowOff>
    </xdr:from>
    <xdr:to>
      <xdr:col>36</xdr:col>
      <xdr:colOff>291488</xdr:colOff>
      <xdr:row>17</xdr:row>
      <xdr:rowOff>114230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68D25B5-C928-4697-90F0-614760FE08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39</xdr:col>
      <xdr:colOff>597244</xdr:colOff>
      <xdr:row>4</xdr:row>
      <xdr:rowOff>20595</xdr:rowOff>
    </xdr:from>
    <xdr:to>
      <xdr:col>45</xdr:col>
      <xdr:colOff>25213</xdr:colOff>
      <xdr:row>18</xdr:row>
      <xdr:rowOff>41321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0CBC199-7AB8-4391-98BF-FE36DCCA68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552076</xdr:colOff>
      <xdr:row>4</xdr:row>
      <xdr:rowOff>63501</xdr:rowOff>
    </xdr:from>
    <xdr:to>
      <xdr:col>25</xdr:col>
      <xdr:colOff>812799</xdr:colOff>
      <xdr:row>33</xdr:row>
      <xdr:rowOff>19997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5BCDDE7-9B92-924A-8DD2-C901C4F04D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50</xdr:row>
      <xdr:rowOff>0</xdr:rowOff>
    </xdr:from>
    <xdr:to>
      <xdr:col>26</xdr:col>
      <xdr:colOff>124265</xdr:colOff>
      <xdr:row>76</xdr:row>
      <xdr:rowOff>101792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4757820-44E9-402A-A278-F5AB348D2E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86</xdr:row>
      <xdr:rowOff>0</xdr:rowOff>
    </xdr:from>
    <xdr:to>
      <xdr:col>15</xdr:col>
      <xdr:colOff>312720</xdr:colOff>
      <xdr:row>99</xdr:row>
      <xdr:rowOff>140168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F9BA10F-95B9-424E-AEE6-1E4E899B7D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0</xdr:colOff>
      <xdr:row>86</xdr:row>
      <xdr:rowOff>0</xdr:rowOff>
    </xdr:from>
    <xdr:to>
      <xdr:col>7</xdr:col>
      <xdr:colOff>310816</xdr:colOff>
      <xdr:row>99</xdr:row>
      <xdr:rowOff>138263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0801C1D-6EAE-4327-9B2C-023C3FC204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0</xdr:colOff>
      <xdr:row>86</xdr:row>
      <xdr:rowOff>0</xdr:rowOff>
    </xdr:from>
    <xdr:to>
      <xdr:col>21</xdr:col>
      <xdr:colOff>307005</xdr:colOff>
      <xdr:row>99</xdr:row>
      <xdr:rowOff>140168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8D68298-9DFC-4DA8-9D65-C8B142929B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22</xdr:col>
      <xdr:colOff>0</xdr:colOff>
      <xdr:row>86</xdr:row>
      <xdr:rowOff>0</xdr:rowOff>
    </xdr:from>
    <xdr:to>
      <xdr:col>27</xdr:col>
      <xdr:colOff>316531</xdr:colOff>
      <xdr:row>99</xdr:row>
      <xdr:rowOff>142073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BE91F12-298A-465C-B48F-38A9E59B7A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0</xdr:colOff>
      <xdr:row>106</xdr:row>
      <xdr:rowOff>0</xdr:rowOff>
    </xdr:from>
    <xdr:to>
      <xdr:col>15</xdr:col>
      <xdr:colOff>392906</xdr:colOff>
      <xdr:row>121</xdr:row>
      <xdr:rowOff>23813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616CF3A8-70CC-4BC9-8027-FF7DD50A54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134302</xdr:colOff>
      <xdr:row>20</xdr:row>
      <xdr:rowOff>45720</xdr:rowOff>
    </xdr:from>
    <xdr:to>
      <xdr:col>20</xdr:col>
      <xdr:colOff>27622</xdr:colOff>
      <xdr:row>33</xdr:row>
      <xdr:rowOff>198120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5022C05-9559-46D8-8698-61E08BAAFF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282892</xdr:colOff>
      <xdr:row>17</xdr:row>
      <xdr:rowOff>53340</xdr:rowOff>
    </xdr:from>
    <xdr:to>
      <xdr:col>16</xdr:col>
      <xdr:colOff>181927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6B6A11-6224-4D31-A647-33680D92B0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552076</xdr:colOff>
      <xdr:row>4</xdr:row>
      <xdr:rowOff>63501</xdr:rowOff>
    </xdr:from>
    <xdr:to>
      <xdr:col>25</xdr:col>
      <xdr:colOff>812799</xdr:colOff>
      <xdr:row>33</xdr:row>
      <xdr:rowOff>19997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2204B8-7930-4800-A819-1731674192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50</xdr:row>
      <xdr:rowOff>0</xdr:rowOff>
    </xdr:from>
    <xdr:to>
      <xdr:col>26</xdr:col>
      <xdr:colOff>124265</xdr:colOff>
      <xdr:row>76</xdr:row>
      <xdr:rowOff>101792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F5094C2-9AF0-480F-89E4-24E283CF78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86</xdr:row>
      <xdr:rowOff>0</xdr:rowOff>
    </xdr:from>
    <xdr:to>
      <xdr:col>15</xdr:col>
      <xdr:colOff>312720</xdr:colOff>
      <xdr:row>99</xdr:row>
      <xdr:rowOff>140168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C5EB010-2544-4259-89EB-C5AB0F90EF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0</xdr:colOff>
      <xdr:row>85</xdr:row>
      <xdr:rowOff>184689</xdr:rowOff>
    </xdr:from>
    <xdr:to>
      <xdr:col>7</xdr:col>
      <xdr:colOff>310816</xdr:colOff>
      <xdr:row>99</xdr:row>
      <xdr:rowOff>120976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DB9BF0A-6DA1-431E-BE92-159A2A839E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0</xdr:colOff>
      <xdr:row>86</xdr:row>
      <xdr:rowOff>0</xdr:rowOff>
    </xdr:from>
    <xdr:to>
      <xdr:col>21</xdr:col>
      <xdr:colOff>307005</xdr:colOff>
      <xdr:row>99</xdr:row>
      <xdr:rowOff>140168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21857F3-9042-4BE4-844D-D9F85B3EF1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22</xdr:col>
      <xdr:colOff>0</xdr:colOff>
      <xdr:row>86</xdr:row>
      <xdr:rowOff>0</xdr:rowOff>
    </xdr:from>
    <xdr:to>
      <xdr:col>27</xdr:col>
      <xdr:colOff>316531</xdr:colOff>
      <xdr:row>99</xdr:row>
      <xdr:rowOff>142073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7A7120B-ADCD-466C-8F85-FFC1881BFE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299073</xdr:colOff>
      <xdr:row>101</xdr:row>
      <xdr:rowOff>168054</xdr:rowOff>
    </xdr:from>
    <xdr:to>
      <xdr:col>26</xdr:col>
      <xdr:colOff>691454</xdr:colOff>
      <xdr:row>116</xdr:row>
      <xdr:rowOff>189963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1E7698D-9EA4-4E5A-9417-1B906738C9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</xdr:col>
      <xdr:colOff>0</xdr:colOff>
      <xdr:row>86</xdr:row>
      <xdr:rowOff>0</xdr:rowOff>
    </xdr:from>
    <xdr:to>
      <xdr:col>33</xdr:col>
      <xdr:colOff>290742</xdr:colOff>
      <xdr:row>99</xdr:row>
      <xdr:rowOff>181303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BE3DF82-6A78-476A-AC11-191FFDBA31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34</xdr:col>
      <xdr:colOff>0</xdr:colOff>
      <xdr:row>86</xdr:row>
      <xdr:rowOff>0</xdr:rowOff>
    </xdr:from>
    <xdr:to>
      <xdr:col>39</xdr:col>
      <xdr:colOff>290743</xdr:colOff>
      <xdr:row>99</xdr:row>
      <xdr:rowOff>181303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68EBAD2A-FE64-438C-B9FA-8A45DA9510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</xdr:col>
      <xdr:colOff>0</xdr:colOff>
      <xdr:row>86</xdr:row>
      <xdr:rowOff>0</xdr:rowOff>
    </xdr:from>
    <xdr:to>
      <xdr:col>7</xdr:col>
      <xdr:colOff>312632</xdr:colOff>
      <xdr:row>99</xdr:row>
      <xdr:rowOff>166603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E7056F35-D7B7-4BE3-831C-77CD9A4BBB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16</xdr:col>
      <xdr:colOff>851646</xdr:colOff>
      <xdr:row>120</xdr:row>
      <xdr:rowOff>0</xdr:rowOff>
    </xdr:from>
    <xdr:to>
      <xdr:col>31</xdr:col>
      <xdr:colOff>149411</xdr:colOff>
      <xdr:row>159</xdr:row>
      <xdr:rowOff>44823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3A9B3B0-FFA8-4198-AA9F-4377E886BE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M1910184\Documents\PhD\Data\CNW%20charging%20characteri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1"/>
      <sheetName val="P2"/>
      <sheetName val="CP2"/>
      <sheetName val="photostationary"/>
      <sheetName val="meeting data"/>
      <sheetName val="charging relative energy"/>
      <sheetName val="Sheet1"/>
      <sheetName val="photostationary (printable)"/>
      <sheetName val="T 0.5 (30 degrees)"/>
      <sheetName val="T 0.5 (P2+P4)"/>
      <sheetName val="T 0.5 (P3)"/>
      <sheetName val="T 0.5 solid(P1)"/>
      <sheetName val="Sheet2"/>
      <sheetName val="T 0.5 (P1) solution"/>
      <sheetName val="T 0.5 solid P2 P3 P4"/>
      <sheetName val="P1 photostationary"/>
      <sheetName val="P2 photostationary"/>
      <sheetName val="P3 photostationary"/>
      <sheetName val="Photostationary P1 + P4"/>
      <sheetName val="Photostationary P1 + P4 by az%"/>
      <sheetName val="Exp 22 &amp; 23 polymers"/>
      <sheetName val="Photostationary M3"/>
      <sheetName val="Photostationary M4"/>
      <sheetName val="PSS P1 + P2 +385nm"/>
      <sheetName val="PSS P3 + P4 +385nm"/>
      <sheetName val="Sheet2 (2)"/>
      <sheetName val="Films"/>
      <sheetName val="Sheet3"/>
      <sheetName val="Exp 36 acrylate polymer"/>
      <sheetName val="Exp 4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7">
          <cell r="X7">
            <v>0</v>
          </cell>
          <cell r="Y7">
            <v>50</v>
          </cell>
        </row>
        <row r="8">
          <cell r="X8">
            <v>11700</v>
          </cell>
          <cell r="Y8">
            <v>50</v>
          </cell>
        </row>
        <row r="9">
          <cell r="X9">
            <v>0</v>
          </cell>
          <cell r="Y9">
            <v>25</v>
          </cell>
        </row>
        <row r="10">
          <cell r="X10">
            <v>11700</v>
          </cell>
          <cell r="Y10">
            <v>25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6AFBD-CF60-499F-BB63-37D869D95B97}">
  <dimension ref="B4:R36"/>
  <sheetViews>
    <sheetView zoomScale="64" zoomScaleNormal="85" workbookViewId="0">
      <selection activeCell="J5" sqref="J5:J13"/>
    </sheetView>
  </sheetViews>
  <sheetFormatPr defaultColWidth="8.875" defaultRowHeight="15.75" x14ac:dyDescent="0.25"/>
  <cols>
    <col min="16" max="16" width="0" hidden="1" customWidth="1"/>
  </cols>
  <sheetData>
    <row r="4" spans="2:18" x14ac:dyDescent="0.25">
      <c r="B4" t="s">
        <v>1</v>
      </c>
      <c r="C4" t="s">
        <v>38</v>
      </c>
      <c r="D4" t="s">
        <v>2</v>
      </c>
      <c r="E4" t="s">
        <v>12</v>
      </c>
      <c r="F4" t="s">
        <v>13</v>
      </c>
      <c r="G4" t="s">
        <v>43</v>
      </c>
      <c r="H4" t="s">
        <v>39</v>
      </c>
      <c r="I4" t="s">
        <v>16</v>
      </c>
      <c r="J4" t="s">
        <v>40</v>
      </c>
    </row>
    <row r="5" spans="2:18" x14ac:dyDescent="0.25">
      <c r="B5" s="3">
        <f>C5/60</f>
        <v>0</v>
      </c>
      <c r="C5" s="3">
        <v>0</v>
      </c>
      <c r="D5" s="3">
        <f>C5/1440</f>
        <v>0</v>
      </c>
      <c r="E5" s="3">
        <v>27.630800000000001</v>
      </c>
      <c r="F5" s="3">
        <v>72.346599999999995</v>
      </c>
      <c r="G5" s="3">
        <f>F5/(F5+E5)*100</f>
        <v>72.362954027610243</v>
      </c>
      <c r="H5" s="3">
        <f>F5/$F$5*100</f>
        <v>100</v>
      </c>
      <c r="I5" s="3">
        <f>F5+E5</f>
        <v>99.977399999999989</v>
      </c>
      <c r="J5" s="3">
        <f>LN(F5)</f>
        <v>4.2814684581930154</v>
      </c>
      <c r="L5">
        <v>9</v>
      </c>
      <c r="M5">
        <v>6</v>
      </c>
      <c r="N5">
        <v>35</v>
      </c>
      <c r="P5" t="s">
        <v>41</v>
      </c>
      <c r="Q5">
        <f>0.00009</f>
        <v>9.0000000000000006E-5</v>
      </c>
    </row>
    <row r="6" spans="2:18" x14ac:dyDescent="0.25">
      <c r="B6" s="3">
        <f t="shared" ref="B6:B13" si="0">C6/60</f>
        <v>21.288333333333334</v>
      </c>
      <c r="C6" s="3">
        <f>C5+1440-162.7</f>
        <v>1277.3</v>
      </c>
      <c r="D6" s="3">
        <f t="shared" ref="D6:D13" si="1">C6/1440</f>
        <v>0.88701388888888888</v>
      </c>
      <c r="E6" s="3">
        <v>36.8125</v>
      </c>
      <c r="F6" s="3">
        <v>63.147500000000001</v>
      </c>
      <c r="G6" s="3">
        <f t="shared" ref="G6:G13" si="2">F6/(F6+E6)*100</f>
        <v>63.172769107643056</v>
      </c>
      <c r="H6" s="3">
        <f t="shared" ref="H6:H13" si="3">F6/$F$5*100</f>
        <v>87.284682348583075</v>
      </c>
      <c r="I6" s="3">
        <f>F6+E6</f>
        <v>99.960000000000008</v>
      </c>
      <c r="J6" s="3">
        <f t="shared" ref="J6:J13" si="4">LN(F6)</f>
        <v>4.1454732597309949</v>
      </c>
      <c r="L6">
        <v>9</v>
      </c>
      <c r="M6">
        <v>6</v>
      </c>
      <c r="N6">
        <v>48</v>
      </c>
      <c r="P6" t="s">
        <v>42</v>
      </c>
      <c r="Q6">
        <f>LN(2)/Q5</f>
        <v>7701.6353395549468</v>
      </c>
      <c r="R6" t="s">
        <v>9</v>
      </c>
    </row>
    <row r="7" spans="2:18" x14ac:dyDescent="0.25">
      <c r="B7" s="3">
        <f t="shared" si="0"/>
        <v>45.2425</v>
      </c>
      <c r="C7" s="3">
        <f>C6+1440-2.75</f>
        <v>2714.55</v>
      </c>
      <c r="D7" s="3">
        <f t="shared" si="1"/>
        <v>1.8851041666666668</v>
      </c>
      <c r="E7" s="3">
        <v>45.070599999999999</v>
      </c>
      <c r="F7" s="3">
        <v>54.8902</v>
      </c>
      <c r="G7" s="3">
        <f t="shared" si="2"/>
        <v>54.911725396355372</v>
      </c>
      <c r="H7" s="3">
        <f t="shared" si="3"/>
        <v>75.871153585655719</v>
      </c>
      <c r="I7" s="3">
        <f t="shared" ref="I7:I13" si="5">E7+F7</f>
        <v>99.960800000000006</v>
      </c>
      <c r="J7" s="3">
        <f t="shared" si="4"/>
        <v>4.0053348262060977</v>
      </c>
      <c r="L7">
        <f>L6-L5</f>
        <v>0</v>
      </c>
      <c r="M7">
        <f>M6-M5</f>
        <v>0</v>
      </c>
      <c r="N7">
        <f>N6-N5</f>
        <v>13</v>
      </c>
      <c r="Q7">
        <f>Q6/60</f>
        <v>128.36058899258245</v>
      </c>
      <c r="R7" t="s">
        <v>1</v>
      </c>
    </row>
    <row r="8" spans="2:18" x14ac:dyDescent="0.25">
      <c r="B8" s="3">
        <f t="shared" si="0"/>
        <v>69.24111116666667</v>
      </c>
      <c r="C8" s="3">
        <f>C7+1440-0.08333</f>
        <v>4154.4666699999998</v>
      </c>
      <c r="D8" s="3">
        <f t="shared" si="1"/>
        <v>2.8850462986111109</v>
      </c>
      <c r="E8" s="3">
        <v>51.612499999999997</v>
      </c>
      <c r="F8" s="3">
        <v>48.356299999999997</v>
      </c>
      <c r="G8" s="3">
        <f t="shared" si="2"/>
        <v>48.371391874264773</v>
      </c>
      <c r="H8" s="3">
        <f t="shared" si="3"/>
        <v>66.839768558577745</v>
      </c>
      <c r="I8" s="3">
        <f t="shared" si="5"/>
        <v>99.968799999999987</v>
      </c>
      <c r="J8" s="3">
        <f t="shared" si="4"/>
        <v>3.8785965133075964</v>
      </c>
      <c r="M8">
        <f>L7*60+M7+N7/60</f>
        <v>0.21666666666666667</v>
      </c>
      <c r="Q8">
        <f>Q7/24</f>
        <v>5.3483578746909357</v>
      </c>
      <c r="R8" t="s">
        <v>2</v>
      </c>
    </row>
    <row r="9" spans="2:18" x14ac:dyDescent="0.25">
      <c r="B9" s="3">
        <f t="shared" si="0"/>
        <v>91.206111166666659</v>
      </c>
      <c r="C9" s="3">
        <f>C8+1440-122.1</f>
        <v>5472.3666699999994</v>
      </c>
      <c r="D9" s="3">
        <f t="shared" si="1"/>
        <v>3.8002546319444441</v>
      </c>
      <c r="E9" s="3">
        <v>57.4604</v>
      </c>
      <c r="F9" s="3">
        <v>42.511400000000002</v>
      </c>
      <c r="G9" s="3">
        <f t="shared" si="2"/>
        <v>42.523391596430194</v>
      </c>
      <c r="H9" s="3">
        <f t="shared" si="3"/>
        <v>58.760743421252705</v>
      </c>
      <c r="I9" s="3">
        <f t="shared" si="5"/>
        <v>99.971800000000002</v>
      </c>
      <c r="J9" s="3">
        <f t="shared" si="4"/>
        <v>3.7497722752558342</v>
      </c>
    </row>
    <row r="10" spans="2:18" x14ac:dyDescent="0.25">
      <c r="B10" s="3">
        <f t="shared" si="0"/>
        <v>118.60277783333332</v>
      </c>
      <c r="C10" s="3">
        <f>C9+1440+203.8</f>
        <v>7116.1666699999996</v>
      </c>
      <c r="D10" s="3">
        <f t="shared" si="1"/>
        <v>4.9417824097222223</v>
      </c>
      <c r="E10" s="3">
        <v>63.5944</v>
      </c>
      <c r="F10" s="3">
        <v>36.372700000000002</v>
      </c>
      <c r="G10" s="3">
        <f t="shared" si="2"/>
        <v>36.384670556613123</v>
      </c>
      <c r="H10" s="3">
        <f t="shared" si="3"/>
        <v>50.275617651693381</v>
      </c>
      <c r="I10" s="3">
        <f t="shared" si="5"/>
        <v>99.967100000000002</v>
      </c>
      <c r="J10" s="3">
        <f t="shared" si="4"/>
        <v>3.593818493251991</v>
      </c>
    </row>
    <row r="11" spans="2:18" x14ac:dyDescent="0.25">
      <c r="B11" s="3">
        <f t="shared" si="0"/>
        <v>118.69</v>
      </c>
      <c r="C11" s="3">
        <f>C10+5.23333</f>
        <v>7121.4</v>
      </c>
      <c r="D11" s="3">
        <f t="shared" si="1"/>
        <v>4.9454166666666666</v>
      </c>
      <c r="E11" s="3">
        <v>63.679099999999998</v>
      </c>
      <c r="F11" s="3">
        <v>36.2864</v>
      </c>
      <c r="G11" s="3">
        <f t="shared" si="2"/>
        <v>36.298923128479323</v>
      </c>
      <c r="H11" s="3">
        <f t="shared" si="3"/>
        <v>50.156330774355673</v>
      </c>
      <c r="I11" s="3">
        <f t="shared" si="5"/>
        <v>99.965499999999992</v>
      </c>
      <c r="J11" s="3">
        <f t="shared" si="4"/>
        <v>3.5914430154224606</v>
      </c>
    </row>
    <row r="12" spans="2:18" x14ac:dyDescent="0.25">
      <c r="B12" s="3">
        <f t="shared" si="0"/>
        <v>141.24416666666667</v>
      </c>
      <c r="C12" s="3">
        <f>C11+1440-86.75</f>
        <v>8474.65</v>
      </c>
      <c r="D12" s="3">
        <f t="shared" si="1"/>
        <v>5.885173611111111</v>
      </c>
      <c r="E12" s="3">
        <v>68.067099999999996</v>
      </c>
      <c r="F12" s="3">
        <v>31.892299999999999</v>
      </c>
      <c r="G12" s="3">
        <f t="shared" si="2"/>
        <v>31.905253532934374</v>
      </c>
      <c r="H12" s="3">
        <f t="shared" si="3"/>
        <v>44.08265212186889</v>
      </c>
      <c r="I12" s="3">
        <f t="shared" si="5"/>
        <v>99.959399999999988</v>
      </c>
      <c r="J12" s="3">
        <f t="shared" si="4"/>
        <v>3.4623646013437797</v>
      </c>
    </row>
    <row r="13" spans="2:18" x14ac:dyDescent="0.25">
      <c r="B13" s="3">
        <f t="shared" si="0"/>
        <v>165.24777783333332</v>
      </c>
      <c r="C13" s="3">
        <f>C12+1440+0.21667</f>
        <v>9914.8666699999994</v>
      </c>
      <c r="D13" s="3">
        <f t="shared" si="1"/>
        <v>6.8853240763888888</v>
      </c>
      <c r="E13" s="3">
        <v>71.782300000000006</v>
      </c>
      <c r="F13" s="3">
        <v>28.171700000000001</v>
      </c>
      <c r="G13" s="3">
        <f t="shared" si="2"/>
        <v>28.184664945875106</v>
      </c>
      <c r="H13" s="3">
        <f t="shared" si="3"/>
        <v>38.939908717203025</v>
      </c>
      <c r="I13" s="3">
        <f t="shared" si="5"/>
        <v>99.954000000000008</v>
      </c>
      <c r="J13" s="3">
        <f t="shared" si="4"/>
        <v>3.3383179279552446</v>
      </c>
    </row>
    <row r="17" spans="2:2" x14ac:dyDescent="0.25">
      <c r="B17">
        <f>10/0.7</f>
        <v>14.285714285714286</v>
      </c>
    </row>
    <row r="33" spans="5:15" x14ac:dyDescent="0.25">
      <c r="E33">
        <f>98.955*EXP(-0.006*F33)</f>
        <v>50.000003683501156</v>
      </c>
      <c r="F33">
        <v>113.77368704079623</v>
      </c>
      <c r="H33">
        <f>F33*1440</f>
        <v>163834.10933874658</v>
      </c>
      <c r="L33" t="s">
        <v>44</v>
      </c>
      <c r="M33">
        <f>LN(2)/O33</f>
        <v>121.60476851928864</v>
      </c>
      <c r="N33" t="s">
        <v>45</v>
      </c>
      <c r="O33">
        <v>5.7000000000000002E-3</v>
      </c>
    </row>
    <row r="35" spans="5:15" x14ac:dyDescent="0.25">
      <c r="E35">
        <f>99.008*EXP(-0.068*F35)</f>
        <v>24.999989663976088</v>
      </c>
      <c r="F35">
        <v>20.240077110638854</v>
      </c>
      <c r="H35">
        <f>F35*1440</f>
        <v>29145.711039319951</v>
      </c>
    </row>
    <row r="36" spans="5:15" x14ac:dyDescent="0.25">
      <c r="L36">
        <f>M33/24</f>
        <v>5.0668653549703597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75D13-82E2-7C40-9B27-7AB03324F5E9}">
  <dimension ref="B3:Q74"/>
  <sheetViews>
    <sheetView tabSelected="1" topLeftCell="H1" workbookViewId="0">
      <selection activeCell="P12" sqref="P12"/>
    </sheetView>
  </sheetViews>
  <sheetFormatPr defaultColWidth="11" defaultRowHeight="15.75" x14ac:dyDescent="0.25"/>
  <cols>
    <col min="2" max="2" width="10.875" style="11"/>
    <col min="13" max="13" width="12.375" bestFit="1" customWidth="1"/>
  </cols>
  <sheetData>
    <row r="3" spans="2:13" x14ac:dyDescent="0.25">
      <c r="C3" t="s">
        <v>3</v>
      </c>
    </row>
    <row r="4" spans="2:13" x14ac:dyDescent="0.25">
      <c r="L4" t="s">
        <v>106</v>
      </c>
    </row>
    <row r="5" spans="2:13" x14ac:dyDescent="0.25">
      <c r="B5" s="11" t="s">
        <v>100</v>
      </c>
      <c r="C5" t="s">
        <v>1</v>
      </c>
      <c r="D5" t="s">
        <v>14</v>
      </c>
      <c r="E5" t="s">
        <v>98</v>
      </c>
      <c r="F5" t="s">
        <v>99</v>
      </c>
      <c r="G5" t="s">
        <v>45</v>
      </c>
      <c r="H5" t="s">
        <v>44</v>
      </c>
      <c r="I5" t="s">
        <v>106</v>
      </c>
      <c r="K5" t="s">
        <v>100</v>
      </c>
      <c r="L5">
        <v>7.0426829268292677</v>
      </c>
    </row>
    <row r="6" spans="2:13" x14ac:dyDescent="0.25">
      <c r="C6" s="10">
        <v>0</v>
      </c>
      <c r="D6">
        <v>75.39020297967059</v>
      </c>
      <c r="E6">
        <f>D6/100</f>
        <v>0.75390202979670595</v>
      </c>
      <c r="F6">
        <f>LN(E6/$E$6)</f>
        <v>0</v>
      </c>
      <c r="G6">
        <v>4.1000000000000003E-3</v>
      </c>
      <c r="H6">
        <f>0.693/G6</f>
        <v>169.02439024390242</v>
      </c>
      <c r="I6">
        <f>H6/24</f>
        <v>7.0426829268292677</v>
      </c>
      <c r="K6" t="s">
        <v>101</v>
      </c>
      <c r="L6">
        <v>2.4264705882352939</v>
      </c>
      <c r="M6" t="s">
        <v>107</v>
      </c>
    </row>
    <row r="7" spans="2:13" x14ac:dyDescent="0.25">
      <c r="C7" s="10">
        <v>25.5</v>
      </c>
      <c r="D7">
        <v>68.194110137147916</v>
      </c>
      <c r="E7">
        <f t="shared" ref="E7:E13" si="0">D7/100</f>
        <v>0.68194110137147912</v>
      </c>
      <c r="F7">
        <f t="shared" ref="F7:F13" si="1">LN(E7/$E$6)</f>
        <v>-0.10031913312049985</v>
      </c>
      <c r="K7" t="s">
        <v>104</v>
      </c>
      <c r="L7">
        <v>4.3097014925373127</v>
      </c>
    </row>
    <row r="8" spans="2:13" x14ac:dyDescent="0.25">
      <c r="C8" s="10">
        <v>71.599999999999994</v>
      </c>
      <c r="D8">
        <v>57.078513041061093</v>
      </c>
      <c r="E8">
        <f t="shared" si="0"/>
        <v>0.57078513041061096</v>
      </c>
      <c r="F8">
        <f t="shared" si="1"/>
        <v>-0.27824959078273337</v>
      </c>
      <c r="K8" t="s">
        <v>105</v>
      </c>
      <c r="L8">
        <v>4.0669014084507031</v>
      </c>
    </row>
    <row r="9" spans="2:13" x14ac:dyDescent="0.25">
      <c r="C9" s="10">
        <v>95.88</v>
      </c>
      <c r="D9">
        <v>51.514122375049517</v>
      </c>
      <c r="E9">
        <f t="shared" si="0"/>
        <v>0.5151412237504952</v>
      </c>
      <c r="F9">
        <f t="shared" si="1"/>
        <v>-0.38082134166237264</v>
      </c>
      <c r="K9" t="s">
        <v>102</v>
      </c>
      <c r="L9">
        <v>5.1562499999999991</v>
      </c>
    </row>
    <row r="10" spans="2:13" x14ac:dyDescent="0.25">
      <c r="C10" s="10">
        <v>119.27</v>
      </c>
      <c r="D10">
        <v>46.4724520370794</v>
      </c>
      <c r="E10">
        <f t="shared" si="0"/>
        <v>0.46472452037079398</v>
      </c>
      <c r="F10">
        <f t="shared" si="1"/>
        <v>-0.48381762488753238</v>
      </c>
      <c r="K10" t="s">
        <v>103</v>
      </c>
      <c r="L10">
        <v>5.8928571428571423</v>
      </c>
    </row>
    <row r="11" spans="2:13" x14ac:dyDescent="0.25">
      <c r="C11" s="10">
        <v>143.47</v>
      </c>
      <c r="D11">
        <v>41.930913476360601</v>
      </c>
      <c r="E11">
        <f t="shared" si="0"/>
        <v>0.41930913476360598</v>
      </c>
      <c r="F11">
        <f t="shared" si="1"/>
        <v>-0.58665398592303886</v>
      </c>
      <c r="K11" s="12" t="s">
        <v>101</v>
      </c>
      <c r="L11" s="12">
        <v>6.7151162790697674</v>
      </c>
      <c r="M11" s="12" t="s">
        <v>108</v>
      </c>
    </row>
    <row r="12" spans="2:13" x14ac:dyDescent="0.25">
      <c r="C12" s="10">
        <v>166.85</v>
      </c>
      <c r="D12">
        <v>38.184229317555854</v>
      </c>
      <c r="E12">
        <f t="shared" si="0"/>
        <v>0.38184229317555851</v>
      </c>
      <c r="F12">
        <f t="shared" si="1"/>
        <v>-0.68025474733676738</v>
      </c>
    </row>
    <row r="13" spans="2:13" x14ac:dyDescent="0.25">
      <c r="C13" s="10">
        <v>194.83</v>
      </c>
      <c r="D13">
        <v>34.149948063847447</v>
      </c>
      <c r="E13">
        <f t="shared" si="0"/>
        <v>0.34149948063847446</v>
      </c>
      <c r="F13">
        <f t="shared" si="1"/>
        <v>-0.79191626742387589</v>
      </c>
    </row>
    <row r="15" spans="2:13" x14ac:dyDescent="0.25">
      <c r="C15" t="s">
        <v>67</v>
      </c>
    </row>
    <row r="17" spans="2:17" x14ac:dyDescent="0.25">
      <c r="B17" s="11" t="s">
        <v>101</v>
      </c>
      <c r="C17" t="s">
        <v>1</v>
      </c>
      <c r="D17" t="s">
        <v>14</v>
      </c>
      <c r="E17" t="s">
        <v>98</v>
      </c>
      <c r="F17" t="s">
        <v>99</v>
      </c>
      <c r="G17" t="s">
        <v>45</v>
      </c>
      <c r="H17" t="s">
        <v>44</v>
      </c>
      <c r="I17" t="s">
        <v>106</v>
      </c>
      <c r="K17" s="12" t="s">
        <v>1</v>
      </c>
      <c r="L17" s="12" t="s">
        <v>14</v>
      </c>
      <c r="M17" s="12" t="s">
        <v>98</v>
      </c>
      <c r="N17" s="12" t="s">
        <v>99</v>
      </c>
      <c r="O17" s="12" t="s">
        <v>45</v>
      </c>
      <c r="P17" s="12" t="s">
        <v>44</v>
      </c>
      <c r="Q17" s="12" t="s">
        <v>106</v>
      </c>
    </row>
    <row r="18" spans="2:17" x14ac:dyDescent="0.25">
      <c r="C18">
        <v>0</v>
      </c>
      <c r="D18">
        <v>61.827250000000006</v>
      </c>
      <c r="E18">
        <f>D18/100</f>
        <v>0.61827250000000011</v>
      </c>
      <c r="F18">
        <f>LN(E18/$E$18)</f>
        <v>0</v>
      </c>
      <c r="G18">
        <v>1.1900000000000001E-2</v>
      </c>
      <c r="H18">
        <f>0.693/G18</f>
        <v>58.235294117647051</v>
      </c>
      <c r="I18">
        <f>H18/24</f>
        <v>2.4264705882352939</v>
      </c>
      <c r="K18" s="12">
        <v>0</v>
      </c>
      <c r="L18" s="13">
        <v>72.5</v>
      </c>
      <c r="M18" s="14">
        <f>L18/100</f>
        <v>0.72499999999999998</v>
      </c>
      <c r="N18" s="15">
        <f>LN(M18/$M$18)</f>
        <v>0</v>
      </c>
      <c r="O18" s="12">
        <v>4.3E-3</v>
      </c>
      <c r="P18" s="12">
        <f>0.693/O18</f>
        <v>161.16279069767441</v>
      </c>
      <c r="Q18" s="12">
        <f>P18/24</f>
        <v>6.7151162790697674</v>
      </c>
    </row>
    <row r="19" spans="2:17" x14ac:dyDescent="0.25">
      <c r="C19">
        <v>23.75</v>
      </c>
      <c r="D19">
        <v>42.8447125</v>
      </c>
      <c r="E19">
        <f t="shared" ref="E19:E24" si="2">D19/100</f>
        <v>0.42844712499999998</v>
      </c>
      <c r="F19">
        <f t="shared" ref="F19:F24" si="3">LN(E19/$E$18)</f>
        <v>-0.36676196392615223</v>
      </c>
      <c r="K19" s="12">
        <v>1</v>
      </c>
      <c r="L19" s="13">
        <v>72.099999999999994</v>
      </c>
      <c r="M19" s="14">
        <f t="shared" ref="M19:M29" si="4">L19/100</f>
        <v>0.72099999999999997</v>
      </c>
      <c r="N19" s="15">
        <f t="shared" ref="N19:N29" si="5">LN(M19/$M$18)</f>
        <v>-5.5325175697256666E-3</v>
      </c>
      <c r="O19" s="12"/>
      <c r="P19" s="12"/>
    </row>
    <row r="20" spans="2:17" x14ac:dyDescent="0.25">
      <c r="C20">
        <v>48.4</v>
      </c>
      <c r="D20">
        <v>31.435787499999996</v>
      </c>
      <c r="E20">
        <f t="shared" si="2"/>
        <v>0.31435787499999995</v>
      </c>
      <c r="F20">
        <f t="shared" si="3"/>
        <v>-0.67639723257494644</v>
      </c>
      <c r="K20" s="12">
        <v>4</v>
      </c>
      <c r="L20" s="13">
        <v>71.400000000000006</v>
      </c>
      <c r="M20" s="14">
        <f t="shared" si="4"/>
        <v>0.71400000000000008</v>
      </c>
      <c r="N20" s="15">
        <f t="shared" si="5"/>
        <v>-1.5288692515090241E-2</v>
      </c>
      <c r="O20" s="12"/>
      <c r="P20" s="12"/>
    </row>
    <row r="21" spans="2:17" x14ac:dyDescent="0.25">
      <c r="C21">
        <v>68.683333333333337</v>
      </c>
      <c r="D21">
        <v>25.747262500000005</v>
      </c>
      <c r="E21">
        <f t="shared" si="2"/>
        <v>0.25747262500000007</v>
      </c>
      <c r="F21">
        <f t="shared" si="3"/>
        <v>-0.8760158950114012</v>
      </c>
      <c r="K21" s="12">
        <v>8</v>
      </c>
      <c r="L21" s="13">
        <v>70.099999999999994</v>
      </c>
      <c r="M21" s="14">
        <f t="shared" si="4"/>
        <v>0.70099999999999996</v>
      </c>
      <c r="N21" s="15">
        <f t="shared" si="5"/>
        <v>-3.3663767820084706E-2</v>
      </c>
      <c r="O21" s="12"/>
      <c r="P21" s="12"/>
    </row>
    <row r="22" spans="2:17" x14ac:dyDescent="0.25">
      <c r="C22">
        <v>96.933333333333337</v>
      </c>
      <c r="D22">
        <v>19.420037499999999</v>
      </c>
      <c r="E22">
        <f t="shared" si="2"/>
        <v>0.19420037499999998</v>
      </c>
      <c r="F22">
        <f t="shared" si="3"/>
        <v>-1.1580388119298695</v>
      </c>
      <c r="K22" s="12">
        <v>24</v>
      </c>
      <c r="L22" s="13">
        <v>64.400000000000006</v>
      </c>
      <c r="M22" s="14">
        <f t="shared" si="4"/>
        <v>0.64400000000000002</v>
      </c>
      <c r="N22" s="15">
        <f t="shared" si="5"/>
        <v>-0.11847292875032109</v>
      </c>
      <c r="O22" s="12"/>
      <c r="P22" s="12"/>
    </row>
    <row r="23" spans="2:17" x14ac:dyDescent="0.25">
      <c r="C23">
        <v>117.73333333333333</v>
      </c>
      <c r="D23">
        <v>13.044662500000001</v>
      </c>
      <c r="E23">
        <f t="shared" si="2"/>
        <v>0.13044662500000001</v>
      </c>
      <c r="F23">
        <f t="shared" si="3"/>
        <v>-1.5559651595177499</v>
      </c>
      <c r="K23" s="12">
        <v>48</v>
      </c>
      <c r="L23" s="13">
        <v>57.9</v>
      </c>
      <c r="M23" s="14">
        <f t="shared" si="4"/>
        <v>0.57899999999999996</v>
      </c>
      <c r="N23" s="15">
        <f t="shared" si="5"/>
        <v>-0.22486917728167954</v>
      </c>
    </row>
    <row r="24" spans="2:17" x14ac:dyDescent="0.25">
      <c r="C24">
        <v>146.88333333333333</v>
      </c>
      <c r="D24">
        <v>10.895949999999999</v>
      </c>
      <c r="E24">
        <f t="shared" si="2"/>
        <v>0.10895949999999999</v>
      </c>
      <c r="F24">
        <f t="shared" si="3"/>
        <v>-1.7359530452334675</v>
      </c>
      <c r="K24" s="12">
        <v>72</v>
      </c>
      <c r="L24" s="13">
        <v>52.8</v>
      </c>
      <c r="M24" s="14">
        <f t="shared" si="4"/>
        <v>0.52800000000000002</v>
      </c>
      <c r="N24" s="15">
        <f t="shared" si="5"/>
        <v>-0.31707537114841328</v>
      </c>
    </row>
    <row r="25" spans="2:17" x14ac:dyDescent="0.25">
      <c r="K25" s="12">
        <v>96</v>
      </c>
      <c r="L25" s="13">
        <v>47.8</v>
      </c>
      <c r="M25" s="14">
        <f t="shared" si="4"/>
        <v>0.47799999999999998</v>
      </c>
      <c r="N25" s="15">
        <f t="shared" si="5"/>
        <v>-0.41656092236321879</v>
      </c>
    </row>
    <row r="26" spans="2:17" x14ac:dyDescent="0.25">
      <c r="C26" t="s">
        <v>23</v>
      </c>
      <c r="K26" s="12">
        <v>120</v>
      </c>
      <c r="L26" s="13">
        <v>42.8</v>
      </c>
      <c r="M26" s="14">
        <f t="shared" si="4"/>
        <v>0.42799999999999999</v>
      </c>
      <c r="N26" s="15">
        <f t="shared" si="5"/>
        <v>-0.52704845927287802</v>
      </c>
    </row>
    <row r="27" spans="2:17" x14ac:dyDescent="0.25">
      <c r="K27" s="12">
        <v>144</v>
      </c>
      <c r="L27" s="13">
        <v>38.700000000000003</v>
      </c>
      <c r="M27" s="14">
        <f t="shared" si="4"/>
        <v>0.38700000000000001</v>
      </c>
      <c r="N27" s="15">
        <f t="shared" si="5"/>
        <v>-0.62774696182489287</v>
      </c>
    </row>
    <row r="28" spans="2:17" x14ac:dyDescent="0.25">
      <c r="B28" s="11" t="s">
        <v>102</v>
      </c>
      <c r="C28" t="s">
        <v>1</v>
      </c>
      <c r="D28" t="s">
        <v>14</v>
      </c>
      <c r="E28" t="s">
        <v>98</v>
      </c>
      <c r="F28" t="s">
        <v>99</v>
      </c>
      <c r="G28" t="s">
        <v>45</v>
      </c>
      <c r="H28" t="s">
        <v>44</v>
      </c>
      <c r="I28" t="s">
        <v>106</v>
      </c>
      <c r="K28" s="12">
        <v>168</v>
      </c>
      <c r="L28" s="13">
        <v>35</v>
      </c>
      <c r="M28" s="14">
        <f t="shared" si="4"/>
        <v>0.35</v>
      </c>
      <c r="N28" s="15">
        <f t="shared" si="5"/>
        <v>-0.72823850037121551</v>
      </c>
    </row>
    <row r="29" spans="2:17" x14ac:dyDescent="0.25">
      <c r="C29">
        <v>0</v>
      </c>
      <c r="D29">
        <v>96.383124045383923</v>
      </c>
      <c r="E29">
        <f>D29/100</f>
        <v>0.96383124045383928</v>
      </c>
      <c r="F29">
        <f>LN(E29/$E$29)</f>
        <v>0</v>
      </c>
      <c r="G29">
        <v>6.7000000000000002E-3</v>
      </c>
      <c r="H29">
        <f>0.693/G29</f>
        <v>103.43283582089551</v>
      </c>
      <c r="I29">
        <f>H29/24</f>
        <v>4.3097014925373127</v>
      </c>
      <c r="K29" s="12">
        <v>192</v>
      </c>
      <c r="L29" s="13">
        <v>31.4</v>
      </c>
      <c r="M29" s="14">
        <f t="shared" si="4"/>
        <v>0.314</v>
      </c>
      <c r="N29" s="15">
        <f t="shared" si="5"/>
        <v>-0.83677866894642139</v>
      </c>
    </row>
    <row r="30" spans="2:17" x14ac:dyDescent="0.25">
      <c r="C30">
        <v>25.733333333333334</v>
      </c>
      <c r="D30">
        <v>78.657236384302649</v>
      </c>
      <c r="E30">
        <f t="shared" ref="E30:E35" si="6">D30/100</f>
        <v>0.78657236384302653</v>
      </c>
      <c r="F30">
        <f t="shared" ref="F30:F35" si="7">LN(E30/$E$29)</f>
        <v>-0.20323149182051045</v>
      </c>
    </row>
    <row r="31" spans="2:17" x14ac:dyDescent="0.25">
      <c r="C31">
        <v>48.383333333333333</v>
      </c>
      <c r="D31">
        <v>65.47291113294142</v>
      </c>
      <c r="E31">
        <f t="shared" si="6"/>
        <v>0.65472911132941425</v>
      </c>
      <c r="F31">
        <f t="shared" si="7"/>
        <v>-0.38669463791362241</v>
      </c>
    </row>
    <row r="32" spans="2:17" x14ac:dyDescent="0.25">
      <c r="C32">
        <v>71.45</v>
      </c>
      <c r="D32">
        <v>54.261323817003472</v>
      </c>
      <c r="E32">
        <f t="shared" si="6"/>
        <v>0.54261323817003471</v>
      </c>
      <c r="F32">
        <f t="shared" si="7"/>
        <v>-0.57451941992887423</v>
      </c>
    </row>
    <row r="33" spans="2:9" x14ac:dyDescent="0.25">
      <c r="C33">
        <v>142.08333333333334</v>
      </c>
      <c r="D33">
        <v>34.238279558430662</v>
      </c>
      <c r="E33">
        <f t="shared" si="6"/>
        <v>0.34238279558430662</v>
      </c>
      <c r="F33">
        <f t="shared" si="7"/>
        <v>-1.0349868210515425</v>
      </c>
    </row>
    <row r="34" spans="2:9" x14ac:dyDescent="0.25">
      <c r="C34">
        <v>167.45</v>
      </c>
      <c r="D34">
        <v>29.857758812286082</v>
      </c>
      <c r="E34">
        <f t="shared" si="6"/>
        <v>0.29857758812286084</v>
      </c>
      <c r="F34">
        <f t="shared" si="7"/>
        <v>-1.1718863917482554</v>
      </c>
    </row>
    <row r="35" spans="2:9" x14ac:dyDescent="0.25">
      <c r="C35">
        <v>192.65</v>
      </c>
      <c r="D35">
        <v>26.646120046518973</v>
      </c>
      <c r="E35">
        <f t="shared" si="6"/>
        <v>0.26646120046518973</v>
      </c>
      <c r="F35">
        <f t="shared" si="7"/>
        <v>-1.2856875737576323</v>
      </c>
    </row>
    <row r="37" spans="2:9" x14ac:dyDescent="0.25">
      <c r="C37" t="s">
        <v>21</v>
      </c>
    </row>
    <row r="39" spans="2:9" x14ac:dyDescent="0.25">
      <c r="B39" s="11" t="s">
        <v>103</v>
      </c>
      <c r="C39" t="s">
        <v>1</v>
      </c>
      <c r="D39" t="s">
        <v>14</v>
      </c>
      <c r="E39" t="s">
        <v>98</v>
      </c>
      <c r="F39" t="s">
        <v>99</v>
      </c>
      <c r="G39" t="s">
        <v>45</v>
      </c>
      <c r="H39" t="s">
        <v>44</v>
      </c>
      <c r="I39" t="s">
        <v>106</v>
      </c>
    </row>
    <row r="40" spans="2:9" x14ac:dyDescent="0.25">
      <c r="C40">
        <v>0</v>
      </c>
      <c r="D40">
        <v>96.704713595938486</v>
      </c>
      <c r="E40">
        <f>D40/100</f>
        <v>0.96704713595938485</v>
      </c>
      <c r="F40">
        <f>LN(E40/$E$40)</f>
        <v>0</v>
      </c>
      <c r="G40">
        <v>7.1000000000000004E-3</v>
      </c>
      <c r="H40">
        <f>0.693/G40</f>
        <v>97.605633802816882</v>
      </c>
      <c r="I40">
        <f>H40/24</f>
        <v>4.0669014084507031</v>
      </c>
    </row>
    <row r="41" spans="2:9" x14ac:dyDescent="0.25">
      <c r="C41">
        <v>22.933333333333334</v>
      </c>
      <c r="D41">
        <v>80.723385660022188</v>
      </c>
      <c r="E41">
        <f t="shared" ref="E41:E46" si="8">D41/100</f>
        <v>0.80723385660022184</v>
      </c>
      <c r="F41">
        <f t="shared" ref="F41:F46" si="9">LN(E41/$E$40)</f>
        <v>-0.18063382737342065</v>
      </c>
    </row>
    <row r="42" spans="2:9" x14ac:dyDescent="0.25">
      <c r="C42">
        <v>47.383333333333333</v>
      </c>
      <c r="D42">
        <v>66.649254397714088</v>
      </c>
      <c r="E42">
        <f t="shared" si="8"/>
        <v>0.66649254397714086</v>
      </c>
      <c r="F42">
        <f t="shared" si="9"/>
        <v>-0.37221828606896096</v>
      </c>
    </row>
    <row r="43" spans="2:9" x14ac:dyDescent="0.25">
      <c r="C43">
        <v>67.86666666666666</v>
      </c>
      <c r="D43">
        <v>56.990490330457114</v>
      </c>
      <c r="E43">
        <f t="shared" si="8"/>
        <v>0.56990490330457111</v>
      </c>
      <c r="F43">
        <f t="shared" si="9"/>
        <v>-0.52877772819205382</v>
      </c>
    </row>
    <row r="44" spans="2:9" x14ac:dyDescent="0.25">
      <c r="C44">
        <v>96.2</v>
      </c>
      <c r="D44">
        <v>46.09258625212879</v>
      </c>
      <c r="E44">
        <f t="shared" si="8"/>
        <v>0.46092586252128792</v>
      </c>
      <c r="F44">
        <f t="shared" si="9"/>
        <v>-0.74101002755607992</v>
      </c>
    </row>
    <row r="45" spans="2:9" x14ac:dyDescent="0.25">
      <c r="C45">
        <v>164.91666666666666</v>
      </c>
      <c r="D45">
        <v>29.150819924551541</v>
      </c>
      <c r="E45">
        <f t="shared" si="8"/>
        <v>0.29150819924551541</v>
      </c>
      <c r="F45">
        <f t="shared" si="9"/>
        <v>-1.1991791056272638</v>
      </c>
    </row>
    <row r="46" spans="2:9" x14ac:dyDescent="0.25">
      <c r="C46">
        <v>194.06666666666666</v>
      </c>
      <c r="D46">
        <v>24.429130011921252</v>
      </c>
      <c r="E46">
        <f t="shared" si="8"/>
        <v>0.24429130011921252</v>
      </c>
      <c r="F46">
        <f t="shared" si="9"/>
        <v>-1.3758858726291048</v>
      </c>
    </row>
    <row r="48" spans="2:9" x14ac:dyDescent="0.25">
      <c r="C48" t="s">
        <v>78</v>
      </c>
    </row>
    <row r="50" spans="2:9" x14ac:dyDescent="0.25">
      <c r="B50" s="11" t="s">
        <v>104</v>
      </c>
      <c r="C50" t="s">
        <v>1</v>
      </c>
      <c r="D50" t="s">
        <v>14</v>
      </c>
      <c r="E50" t="s">
        <v>98</v>
      </c>
      <c r="F50" t="s">
        <v>99</v>
      </c>
      <c r="G50" t="s">
        <v>45</v>
      </c>
      <c r="H50" t="s">
        <v>44</v>
      </c>
      <c r="I50" t="s">
        <v>106</v>
      </c>
    </row>
    <row r="51" spans="2:9" x14ac:dyDescent="0.25">
      <c r="C51">
        <v>0</v>
      </c>
      <c r="D51">
        <v>0.96509725258626522</v>
      </c>
      <c r="E51">
        <f>D51</f>
        <v>0.96509725258626522</v>
      </c>
      <c r="F51">
        <f>LN(E51/$E$51)</f>
        <v>0</v>
      </c>
      <c r="G51">
        <v>5.5999999999999999E-3</v>
      </c>
      <c r="H51">
        <f>0.693/G51</f>
        <v>123.74999999999999</v>
      </c>
      <c r="I51">
        <f>H51/24</f>
        <v>5.1562499999999991</v>
      </c>
    </row>
    <row r="52" spans="2:9" x14ac:dyDescent="0.25">
      <c r="C52">
        <v>22.616666666666667</v>
      </c>
      <c r="D52">
        <v>0.82077381452959619</v>
      </c>
      <c r="E52">
        <f t="shared" ref="E52:E60" si="10">D52</f>
        <v>0.82077381452959619</v>
      </c>
      <c r="F52">
        <f t="shared" ref="F52:F60" si="11">LN(E52/$E$51)</f>
        <v>-0.16198130461178437</v>
      </c>
    </row>
    <row r="53" spans="2:9" x14ac:dyDescent="0.25">
      <c r="C53">
        <v>92.7</v>
      </c>
      <c r="D53">
        <v>0.52303773883496008</v>
      </c>
      <c r="E53">
        <f t="shared" si="10"/>
        <v>0.52303773883496008</v>
      </c>
      <c r="F53">
        <f t="shared" si="11"/>
        <v>-0.61257525629729814</v>
      </c>
    </row>
    <row r="54" spans="2:9" x14ac:dyDescent="0.25">
      <c r="C54">
        <v>117.91666666666667</v>
      </c>
      <c r="D54">
        <v>0.44866700425962885</v>
      </c>
      <c r="E54">
        <f t="shared" si="10"/>
        <v>0.44866700425962885</v>
      </c>
      <c r="F54">
        <f t="shared" si="11"/>
        <v>-0.76594790217087183</v>
      </c>
    </row>
    <row r="55" spans="2:9" x14ac:dyDescent="0.25">
      <c r="C55">
        <v>140.94999999999999</v>
      </c>
      <c r="D55">
        <v>0.3911869030565292</v>
      </c>
      <c r="E55">
        <f t="shared" si="10"/>
        <v>0.3911869030565292</v>
      </c>
      <c r="F55">
        <f t="shared" si="11"/>
        <v>-0.9030434174372961</v>
      </c>
    </row>
    <row r="56" spans="2:9" x14ac:dyDescent="0.25">
      <c r="C56">
        <v>186.25</v>
      </c>
      <c r="D56">
        <v>0.30258863490983279</v>
      </c>
      <c r="E56">
        <f t="shared" si="10"/>
        <v>0.30258863490983279</v>
      </c>
      <c r="F56">
        <f t="shared" si="11"/>
        <v>-1.1598546336243403</v>
      </c>
    </row>
    <row r="57" spans="2:9" x14ac:dyDescent="0.25">
      <c r="C57">
        <v>257.31666666666666</v>
      </c>
      <c r="D57">
        <v>0.21166352315390516</v>
      </c>
      <c r="E57">
        <f t="shared" si="10"/>
        <v>0.21166352315390516</v>
      </c>
      <c r="F57">
        <f t="shared" si="11"/>
        <v>-1.5172310172702668</v>
      </c>
    </row>
    <row r="58" spans="2:9" x14ac:dyDescent="0.25">
      <c r="C58">
        <v>280.55</v>
      </c>
      <c r="D58">
        <v>0.18449594091993926</v>
      </c>
      <c r="E58">
        <f t="shared" si="10"/>
        <v>0.18449594091993926</v>
      </c>
      <c r="F58">
        <f t="shared" si="11"/>
        <v>-1.6546014133385396</v>
      </c>
    </row>
    <row r="59" spans="2:9" x14ac:dyDescent="0.25">
      <c r="C59">
        <v>305.46666666666664</v>
      </c>
      <c r="D59">
        <v>0.16301085542274138</v>
      </c>
      <c r="E59">
        <f t="shared" si="10"/>
        <v>0.16301085542274138</v>
      </c>
      <c r="F59">
        <f t="shared" si="11"/>
        <v>-1.77841207986841</v>
      </c>
    </row>
    <row r="60" spans="2:9" x14ac:dyDescent="0.25">
      <c r="C60">
        <v>329.21666666666664</v>
      </c>
      <c r="D60">
        <v>0.15056201295736629</v>
      </c>
      <c r="E60">
        <f t="shared" si="10"/>
        <v>0.15056201295736629</v>
      </c>
      <c r="F60">
        <f t="shared" si="11"/>
        <v>-1.8578538305936321</v>
      </c>
    </row>
    <row r="62" spans="2:9" x14ac:dyDescent="0.25">
      <c r="C62" t="s">
        <v>80</v>
      </c>
    </row>
    <row r="64" spans="2:9" x14ac:dyDescent="0.25">
      <c r="B64" s="11" t="s">
        <v>105</v>
      </c>
      <c r="C64" t="s">
        <v>1</v>
      </c>
      <c r="D64" t="s">
        <v>14</v>
      </c>
      <c r="E64" t="s">
        <v>98</v>
      </c>
      <c r="F64" t="s">
        <v>99</v>
      </c>
      <c r="G64" t="s">
        <v>45</v>
      </c>
      <c r="H64" t="s">
        <v>44</v>
      </c>
      <c r="I64" t="s">
        <v>106</v>
      </c>
    </row>
    <row r="65" spans="3:9" x14ac:dyDescent="0.25">
      <c r="C65" s="5">
        <v>0</v>
      </c>
      <c r="D65">
        <v>0.9688073733912328</v>
      </c>
      <c r="E65">
        <f>D65</f>
        <v>0.9688073733912328</v>
      </c>
      <c r="F65">
        <f>LN(E65/$E$65)</f>
        <v>0</v>
      </c>
      <c r="G65">
        <v>4.8999999999999998E-3</v>
      </c>
      <c r="H65">
        <f>0.693/G65</f>
        <v>141.42857142857142</v>
      </c>
      <c r="I65">
        <f>H65/24</f>
        <v>5.8928571428571423</v>
      </c>
    </row>
    <row r="66" spans="3:9" x14ac:dyDescent="0.25">
      <c r="C66" s="5">
        <v>22.633333333333333</v>
      </c>
      <c r="D66">
        <v>0.84842691103437118</v>
      </c>
      <c r="E66">
        <f t="shared" ref="E66:E74" si="12">D66</f>
        <v>0.84842691103437118</v>
      </c>
      <c r="F66">
        <f t="shared" ref="F66:F74" si="13">LN(E66/$E$65)</f>
        <v>-0.13268186112400016</v>
      </c>
    </row>
    <row r="67" spans="3:9" x14ac:dyDescent="0.25">
      <c r="C67" s="5">
        <v>92.7</v>
      </c>
      <c r="D67">
        <v>0.57817445294450565</v>
      </c>
      <c r="E67">
        <f t="shared" si="12"/>
        <v>0.57817445294450565</v>
      </c>
      <c r="F67">
        <f t="shared" si="13"/>
        <v>-0.51619015822299796</v>
      </c>
    </row>
    <row r="68" spans="3:9" x14ac:dyDescent="0.25">
      <c r="C68" s="5">
        <v>117.93333333333334</v>
      </c>
      <c r="D68">
        <v>0.50569450892860535</v>
      </c>
      <c r="E68">
        <f t="shared" si="12"/>
        <v>0.50569450892860535</v>
      </c>
      <c r="F68">
        <f t="shared" si="13"/>
        <v>-0.65013305339019378</v>
      </c>
    </row>
    <row r="69" spans="3:9" x14ac:dyDescent="0.25">
      <c r="C69" s="5">
        <v>140.96666666666667</v>
      </c>
      <c r="D69">
        <v>0.44961397529018071</v>
      </c>
      <c r="E69">
        <f t="shared" si="12"/>
        <v>0.44961397529018071</v>
      </c>
      <c r="F69">
        <f t="shared" si="13"/>
        <v>-0.76767642113280277</v>
      </c>
    </row>
    <row r="70" spans="3:9" x14ac:dyDescent="0.25">
      <c r="C70" s="5">
        <v>186.26666666666668</v>
      </c>
      <c r="D70">
        <v>0.35924082975985949</v>
      </c>
      <c r="E70">
        <f t="shared" si="12"/>
        <v>0.35924082975985949</v>
      </c>
      <c r="F70">
        <f t="shared" si="13"/>
        <v>-0.99207280449491497</v>
      </c>
    </row>
    <row r="71" spans="3:9" x14ac:dyDescent="0.25">
      <c r="C71" s="5">
        <v>257.31666666666666</v>
      </c>
      <c r="D71">
        <v>0.26105126586032623</v>
      </c>
      <c r="E71">
        <f t="shared" si="12"/>
        <v>0.26105126586032623</v>
      </c>
      <c r="F71">
        <f t="shared" si="13"/>
        <v>-1.3113489941042449</v>
      </c>
    </row>
    <row r="72" spans="3:9" x14ac:dyDescent="0.25">
      <c r="C72" s="5">
        <v>280.55</v>
      </c>
      <c r="D72">
        <v>0.23654856724892007</v>
      </c>
      <c r="E72">
        <f t="shared" si="12"/>
        <v>0.23654856724892007</v>
      </c>
      <c r="F72">
        <f t="shared" si="13"/>
        <v>-1.409912257864431</v>
      </c>
    </row>
    <row r="73" spans="3:9" x14ac:dyDescent="0.25">
      <c r="C73" s="5">
        <v>305.46666666666664</v>
      </c>
      <c r="D73">
        <v>0.21288284411551708</v>
      </c>
      <c r="E73">
        <f t="shared" si="12"/>
        <v>0.21288284411551708</v>
      </c>
      <c r="F73">
        <f t="shared" si="13"/>
        <v>-1.5153238162976048</v>
      </c>
    </row>
    <row r="74" spans="3:9" x14ac:dyDescent="0.25">
      <c r="C74" s="5">
        <v>329.23333333333335</v>
      </c>
      <c r="D74">
        <v>0.19487694024095306</v>
      </c>
      <c r="E74">
        <f t="shared" si="12"/>
        <v>0.19487694024095306</v>
      </c>
      <c r="F74">
        <f t="shared" si="13"/>
        <v>-1.6036975193954164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970AC-DB25-41D9-8B39-CD364AB98C77}">
  <sheetPr>
    <pageSetUpPr fitToPage="1"/>
  </sheetPr>
  <dimension ref="C5:AA59"/>
  <sheetViews>
    <sheetView zoomScale="55" zoomScaleNormal="55" workbookViewId="0">
      <selection activeCell="Q6" sqref="Q6:Q14"/>
    </sheetView>
  </sheetViews>
  <sheetFormatPr defaultColWidth="11.125" defaultRowHeight="15.75" x14ac:dyDescent="0.25"/>
  <sheetData>
    <row r="5" spans="3:22" x14ac:dyDescent="0.25">
      <c r="C5" t="s">
        <v>52</v>
      </c>
      <c r="D5" t="s">
        <v>56</v>
      </c>
      <c r="E5" t="s">
        <v>13</v>
      </c>
      <c r="F5" t="s">
        <v>12</v>
      </c>
      <c r="G5" t="s">
        <v>16</v>
      </c>
      <c r="H5" t="s">
        <v>57</v>
      </c>
      <c r="I5" t="s">
        <v>95</v>
      </c>
      <c r="Q5" t="s">
        <v>96</v>
      </c>
      <c r="R5" t="s">
        <v>54</v>
      </c>
    </row>
    <row r="6" spans="3:22" x14ac:dyDescent="0.25">
      <c r="C6" t="s">
        <v>58</v>
      </c>
      <c r="D6">
        <v>12</v>
      </c>
      <c r="E6">
        <v>4.2309999999999999</v>
      </c>
      <c r="F6">
        <v>1.3223</v>
      </c>
      <c r="G6">
        <f>F6+E6</f>
        <v>5.5533000000000001</v>
      </c>
      <c r="H6">
        <f>E6/F6</f>
        <v>3.1997277471073127</v>
      </c>
      <c r="I6">
        <f>H6/$H$6</f>
        <v>1</v>
      </c>
      <c r="J6">
        <f>H6*0.5</f>
        <v>1.5998638735536563</v>
      </c>
      <c r="K6">
        <v>50</v>
      </c>
      <c r="N6">
        <v>0</v>
      </c>
      <c r="O6">
        <v>4.2309999999999999</v>
      </c>
      <c r="P6">
        <v>100</v>
      </c>
      <c r="Q6" s="3">
        <f>LN(I6)</f>
        <v>0</v>
      </c>
      <c r="R6">
        <f t="shared" ref="R6:R14" si="0">LN(E6)</f>
        <v>1.4424383717379303</v>
      </c>
      <c r="S6">
        <v>0</v>
      </c>
      <c r="U6">
        <f>P6</f>
        <v>100</v>
      </c>
    </row>
    <row r="7" spans="3:22" x14ac:dyDescent="0.25">
      <c r="C7" t="s">
        <v>59</v>
      </c>
      <c r="D7">
        <v>12</v>
      </c>
      <c r="E7">
        <v>3.7902999999999998</v>
      </c>
      <c r="F7">
        <v>1.7048000000000001</v>
      </c>
      <c r="G7">
        <f>F7+E7</f>
        <v>5.4950999999999999</v>
      </c>
      <c r="H7">
        <f>E7/F7</f>
        <v>2.2233106522759267</v>
      </c>
      <c r="I7">
        <f t="shared" ref="I7:I14" si="1">H7/$H$6</f>
        <v>0.69484369546311942</v>
      </c>
      <c r="K7">
        <v>50</v>
      </c>
      <c r="N7">
        <v>22</v>
      </c>
      <c r="O7">
        <v>3.7902999999999998</v>
      </c>
      <c r="P7">
        <f>E7/E6*100</f>
        <v>89.584022689671471</v>
      </c>
      <c r="Q7" s="3">
        <f t="shared" ref="Q7:Q15" si="2">LN(I7)</f>
        <v>-0.36406835732504733</v>
      </c>
      <c r="R7">
        <f t="shared" si="0"/>
        <v>1.3324451716345131</v>
      </c>
      <c r="S7">
        <v>22</v>
      </c>
      <c r="U7">
        <f t="shared" ref="U7:U12" si="3">P7</f>
        <v>89.584022689671471</v>
      </c>
    </row>
    <row r="8" spans="3:22" x14ac:dyDescent="0.25">
      <c r="C8" t="s">
        <v>60</v>
      </c>
      <c r="D8">
        <v>12</v>
      </c>
      <c r="E8">
        <v>3.5034000000000001</v>
      </c>
      <c r="F8">
        <v>2.0005999999999999</v>
      </c>
      <c r="G8">
        <f>E8+F8</f>
        <v>5.5039999999999996</v>
      </c>
      <c r="H8">
        <f>E8/F8</f>
        <v>1.7511746476057184</v>
      </c>
      <c r="I8">
        <f t="shared" si="1"/>
        <v>0.5472886401628555</v>
      </c>
      <c r="J8">
        <f>200/3</f>
        <v>66.666666666666671</v>
      </c>
      <c r="K8">
        <v>50</v>
      </c>
      <c r="N8">
        <v>46</v>
      </c>
      <c r="O8">
        <f t="shared" ref="O8:O14" si="4">E8</f>
        <v>3.5034000000000001</v>
      </c>
      <c r="P8">
        <f>E8/E6*100</f>
        <v>82.803119829827466</v>
      </c>
      <c r="Q8" s="3">
        <f t="shared" si="2"/>
        <v>-0.60277893719082354</v>
      </c>
      <c r="R8">
        <f t="shared" si="0"/>
        <v>1.2537339255354099</v>
      </c>
      <c r="S8">
        <v>46</v>
      </c>
      <c r="U8">
        <f t="shared" si="3"/>
        <v>82.803119829827466</v>
      </c>
    </row>
    <row r="9" spans="3:22" x14ac:dyDescent="0.25">
      <c r="C9" t="s">
        <v>61</v>
      </c>
      <c r="D9">
        <v>12</v>
      </c>
      <c r="E9">
        <v>3.1398999999999999</v>
      </c>
      <c r="F9">
        <v>2.3189000000000002</v>
      </c>
      <c r="G9">
        <f>E9+F9</f>
        <v>5.4588000000000001</v>
      </c>
      <c r="H9">
        <f>E9/F9</f>
        <v>1.3540471775410754</v>
      </c>
      <c r="I9">
        <f t="shared" si="1"/>
        <v>0.42317574636316807</v>
      </c>
      <c r="K9">
        <v>50</v>
      </c>
      <c r="N9">
        <v>70</v>
      </c>
      <c r="O9">
        <f t="shared" si="4"/>
        <v>3.1398999999999999</v>
      </c>
      <c r="P9">
        <f>E9/E6*100</f>
        <v>74.211770267076332</v>
      </c>
      <c r="Q9" s="3">
        <f t="shared" si="2"/>
        <v>-0.85996771018626983</v>
      </c>
      <c r="R9">
        <f t="shared" si="0"/>
        <v>1.1441909522792733</v>
      </c>
      <c r="S9">
        <v>70</v>
      </c>
      <c r="U9">
        <f t="shared" si="3"/>
        <v>74.211770267076332</v>
      </c>
    </row>
    <row r="10" spans="3:22" x14ac:dyDescent="0.25">
      <c r="C10" t="s">
        <v>62</v>
      </c>
      <c r="D10">
        <v>12</v>
      </c>
      <c r="E10">
        <v>2.3849999999999998</v>
      </c>
      <c r="F10">
        <v>3.0907</v>
      </c>
      <c r="G10">
        <f>E10+F10</f>
        <v>5.4756999999999998</v>
      </c>
      <c r="H10">
        <f>E10/F10</f>
        <v>0.77166984825444063</v>
      </c>
      <c r="I10">
        <f t="shared" si="1"/>
        <v>0.24116734586311675</v>
      </c>
      <c r="K10">
        <v>50</v>
      </c>
      <c r="N10">
        <v>119</v>
      </c>
      <c r="O10">
        <f t="shared" si="4"/>
        <v>2.3849999999999998</v>
      </c>
      <c r="P10">
        <f>E10/$E$6*100</f>
        <v>56.36965256440557</v>
      </c>
      <c r="Q10" s="3">
        <f t="shared" si="2"/>
        <v>-1.4222642052877876</v>
      </c>
      <c r="R10">
        <f t="shared" si="0"/>
        <v>0.86919912434030444</v>
      </c>
      <c r="S10">
        <v>119</v>
      </c>
      <c r="U10">
        <f t="shared" si="3"/>
        <v>56.36965256440557</v>
      </c>
    </row>
    <row r="11" spans="3:22" x14ac:dyDescent="0.25">
      <c r="C11" t="s">
        <v>63</v>
      </c>
      <c r="D11">
        <v>12</v>
      </c>
      <c r="E11">
        <v>2.2454000000000001</v>
      </c>
      <c r="F11">
        <v>3.1187999999999998</v>
      </c>
      <c r="G11">
        <f t="shared" ref="G11:G14" si="5">E11+F11</f>
        <v>5.3642000000000003</v>
      </c>
      <c r="H11">
        <f t="shared" ref="H11:H14" si="6">E11/F11</f>
        <v>0.71995639348467366</v>
      </c>
      <c r="I11">
        <f t="shared" si="1"/>
        <v>0.22500551621479178</v>
      </c>
      <c r="K11">
        <v>50</v>
      </c>
      <c r="N11">
        <v>127</v>
      </c>
      <c r="O11">
        <f t="shared" si="4"/>
        <v>2.2454000000000001</v>
      </c>
      <c r="P11">
        <f>E11/$E$6*100</f>
        <v>53.070196171117942</v>
      </c>
      <c r="Q11" s="3">
        <f t="shared" si="2"/>
        <v>-1.4916303605680559</v>
      </c>
      <c r="R11">
        <f t="shared" si="0"/>
        <v>0.8088836790425421</v>
      </c>
      <c r="S11">
        <v>127</v>
      </c>
      <c r="U11">
        <f t="shared" si="3"/>
        <v>53.070196171117942</v>
      </c>
    </row>
    <row r="12" spans="3:22" x14ac:dyDescent="0.25">
      <c r="C12">
        <v>131</v>
      </c>
      <c r="D12">
        <v>12</v>
      </c>
      <c r="E12">
        <v>2.2057000000000002</v>
      </c>
      <c r="F12">
        <v>3.1738</v>
      </c>
      <c r="G12">
        <f t="shared" si="5"/>
        <v>5.3795000000000002</v>
      </c>
      <c r="H12">
        <f t="shared" si="6"/>
        <v>0.69497132774591974</v>
      </c>
      <c r="I12">
        <f t="shared" si="1"/>
        <v>0.21719701883205619</v>
      </c>
      <c r="K12">
        <v>50</v>
      </c>
      <c r="N12">
        <v>131</v>
      </c>
      <c r="O12">
        <f t="shared" si="4"/>
        <v>2.2057000000000002</v>
      </c>
      <c r="P12">
        <f t="shared" ref="P12:P15" si="7">E12/$E$6*100</f>
        <v>52.131883715433716</v>
      </c>
      <c r="Q12" s="3">
        <f t="shared" si="2"/>
        <v>-1.5269504164674899</v>
      </c>
      <c r="R12">
        <f t="shared" si="0"/>
        <v>0.79104491883640526</v>
      </c>
      <c r="S12">
        <v>131</v>
      </c>
      <c r="U12">
        <f t="shared" si="3"/>
        <v>52.131883715433716</v>
      </c>
    </row>
    <row r="13" spans="3:22" x14ac:dyDescent="0.25">
      <c r="C13">
        <v>135</v>
      </c>
      <c r="D13">
        <v>12</v>
      </c>
      <c r="E13">
        <v>2.198</v>
      </c>
      <c r="F13">
        <v>3.3161999999999998</v>
      </c>
      <c r="G13">
        <f t="shared" si="5"/>
        <v>5.5141999999999998</v>
      </c>
      <c r="H13">
        <f t="shared" si="6"/>
        <v>0.66280682709124905</v>
      </c>
      <c r="I13">
        <f t="shared" si="1"/>
        <v>0.20714475714080802</v>
      </c>
      <c r="K13">
        <v>50</v>
      </c>
      <c r="N13">
        <v>135</v>
      </c>
      <c r="O13">
        <f t="shared" si="4"/>
        <v>2.198</v>
      </c>
      <c r="P13">
        <f t="shared" si="7"/>
        <v>51.949893642164966</v>
      </c>
      <c r="Q13" s="3">
        <f t="shared" si="2"/>
        <v>-1.5743374202609957</v>
      </c>
      <c r="R13">
        <f t="shared" si="0"/>
        <v>0.78754785598142962</v>
      </c>
      <c r="S13">
        <v>139</v>
      </c>
      <c r="U13">
        <f>P14</f>
        <v>49.550933585440795</v>
      </c>
    </row>
    <row r="14" spans="3:22" x14ac:dyDescent="0.25">
      <c r="C14">
        <v>139</v>
      </c>
      <c r="D14">
        <v>12</v>
      </c>
      <c r="E14">
        <v>2.0964999999999998</v>
      </c>
      <c r="F14">
        <v>3.2810999999999999</v>
      </c>
      <c r="G14">
        <f t="shared" si="5"/>
        <v>5.3775999999999993</v>
      </c>
      <c r="H14">
        <f t="shared" si="6"/>
        <v>0.638962543049587</v>
      </c>
      <c r="I14">
        <f t="shared" si="1"/>
        <v>0.19969278437118151</v>
      </c>
      <c r="K14">
        <v>50</v>
      </c>
      <c r="N14">
        <v>139</v>
      </c>
      <c r="O14">
        <f t="shared" si="4"/>
        <v>2.0964999999999998</v>
      </c>
      <c r="P14">
        <f t="shared" si="7"/>
        <v>49.550933585440795</v>
      </c>
      <c r="Q14" s="3">
        <f t="shared" si="2"/>
        <v>-1.6109751715557628</v>
      </c>
      <c r="R14">
        <f t="shared" si="0"/>
        <v>0.74026928762868016</v>
      </c>
    </row>
    <row r="15" spans="3:22" x14ac:dyDescent="0.25">
      <c r="P15">
        <f t="shared" si="7"/>
        <v>0</v>
      </c>
      <c r="Q15" t="e">
        <f t="shared" si="2"/>
        <v>#NUM!</v>
      </c>
    </row>
    <row r="16" spans="3:22" x14ac:dyDescent="0.25">
      <c r="C16" s="4"/>
      <c r="V16">
        <f>V17/24</f>
        <v>4.3998592045054563</v>
      </c>
    </row>
    <row r="17" spans="8:27" x14ac:dyDescent="0.25">
      <c r="V17">
        <f>50/0.4735</f>
        <v>105.59662090813094</v>
      </c>
    </row>
    <row r="18" spans="8:27" x14ac:dyDescent="0.25">
      <c r="H18">
        <f>138/19</f>
        <v>7.2631578947368425</v>
      </c>
    </row>
    <row r="25" spans="8:27" x14ac:dyDescent="0.25">
      <c r="AA25">
        <f>LN(2)/0.005</f>
        <v>138.62943611198907</v>
      </c>
    </row>
    <row r="26" spans="8:27" x14ac:dyDescent="0.25">
      <c r="V26">
        <f>100*EXP(-0.005*W26)</f>
        <v>50.000000027997274</v>
      </c>
      <c r="W26">
        <v>138.629436</v>
      </c>
      <c r="AA26">
        <f>AA25/24</f>
        <v>5.7762265046662113</v>
      </c>
    </row>
    <row r="29" spans="8:27" x14ac:dyDescent="0.25">
      <c r="U29" t="s">
        <v>2</v>
      </c>
      <c r="V29">
        <v>5</v>
      </c>
      <c r="W29">
        <f>W26/24</f>
        <v>5.7762264999999999</v>
      </c>
    </row>
    <row r="30" spans="8:27" x14ac:dyDescent="0.25">
      <c r="U30" t="s">
        <v>1</v>
      </c>
      <c r="V30">
        <v>18</v>
      </c>
      <c r="W30">
        <f>(W29-5)*24</f>
        <v>18.629435999999998</v>
      </c>
    </row>
    <row r="31" spans="8:27" x14ac:dyDescent="0.25">
      <c r="U31" t="s">
        <v>9</v>
      </c>
      <c r="V31">
        <v>37</v>
      </c>
      <c r="W31">
        <f>(W30-18)*60</f>
        <v>37.7661599999999</v>
      </c>
    </row>
    <row r="32" spans="8:27" x14ac:dyDescent="0.25">
      <c r="U32" t="s">
        <v>53</v>
      </c>
      <c r="V32">
        <v>46</v>
      </c>
      <c r="W32">
        <f>(W31-37)*60</f>
        <v>45.969599999993989</v>
      </c>
    </row>
    <row r="51" spans="12:16" x14ac:dyDescent="0.25">
      <c r="L51" s="3">
        <v>0</v>
      </c>
      <c r="M51" s="3">
        <v>1.3223</v>
      </c>
      <c r="N51" s="3">
        <f>O6</f>
        <v>4.2309999999999999</v>
      </c>
      <c r="O51" s="3">
        <f>N51/(N51+M51)*100</f>
        <v>76.188932706678898</v>
      </c>
      <c r="P51" s="3">
        <f>N51/$N$51*100</f>
        <v>100</v>
      </c>
    </row>
    <row r="52" spans="12:16" x14ac:dyDescent="0.25">
      <c r="L52" s="3">
        <v>22</v>
      </c>
      <c r="M52" s="3">
        <v>1.7048000000000001</v>
      </c>
      <c r="N52" s="3">
        <f t="shared" ref="N52:N59" si="8">O7</f>
        <v>3.7902999999999998</v>
      </c>
      <c r="O52" s="3">
        <f t="shared" ref="O52:O59" si="9">N52/(N52+M52)*100</f>
        <v>68.97599679714655</v>
      </c>
      <c r="P52" s="3">
        <f t="shared" ref="P52:P59" si="10">N52/$N$51*100</f>
        <v>89.584022689671471</v>
      </c>
    </row>
    <row r="53" spans="12:16" x14ac:dyDescent="0.25">
      <c r="L53" s="3">
        <v>46</v>
      </c>
      <c r="M53" s="3">
        <v>2.0005999999999999</v>
      </c>
      <c r="N53" s="3">
        <f t="shared" si="8"/>
        <v>3.5034000000000001</v>
      </c>
      <c r="O53" s="3">
        <f t="shared" si="9"/>
        <v>63.651889534883729</v>
      </c>
      <c r="P53" s="3">
        <f t="shared" si="10"/>
        <v>82.803119829827466</v>
      </c>
    </row>
    <row r="54" spans="12:16" x14ac:dyDescent="0.25">
      <c r="L54" s="3">
        <v>70</v>
      </c>
      <c r="M54" s="3">
        <v>2.3189000000000002</v>
      </c>
      <c r="N54" s="3">
        <f t="shared" si="8"/>
        <v>3.1398999999999999</v>
      </c>
      <c r="O54" s="3">
        <f t="shared" si="9"/>
        <v>57.519967758481712</v>
      </c>
      <c r="P54" s="3">
        <f t="shared" si="10"/>
        <v>74.211770267076332</v>
      </c>
    </row>
    <row r="55" spans="12:16" x14ac:dyDescent="0.25">
      <c r="L55" s="3">
        <v>119</v>
      </c>
      <c r="M55" s="3">
        <v>3.0907</v>
      </c>
      <c r="N55" s="3">
        <f t="shared" si="8"/>
        <v>2.3849999999999998</v>
      </c>
      <c r="O55" s="3">
        <f t="shared" si="9"/>
        <v>43.556075022371566</v>
      </c>
      <c r="P55" s="3">
        <f t="shared" si="10"/>
        <v>56.36965256440557</v>
      </c>
    </row>
    <row r="56" spans="12:16" x14ac:dyDescent="0.25">
      <c r="L56" s="3">
        <v>127</v>
      </c>
      <c r="M56" s="3">
        <v>3.1187999999999998</v>
      </c>
      <c r="N56" s="3">
        <f t="shared" si="8"/>
        <v>2.2454000000000001</v>
      </c>
      <c r="O56" s="3">
        <f t="shared" si="9"/>
        <v>41.858991089071992</v>
      </c>
      <c r="P56" s="3">
        <f t="shared" si="10"/>
        <v>53.070196171117942</v>
      </c>
    </row>
    <row r="57" spans="12:16" x14ac:dyDescent="0.25">
      <c r="L57" s="3">
        <v>131</v>
      </c>
      <c r="M57" s="3">
        <v>3.1738</v>
      </c>
      <c r="N57" s="3">
        <f t="shared" si="8"/>
        <v>2.2057000000000002</v>
      </c>
      <c r="O57" s="3">
        <f t="shared" si="9"/>
        <v>41.001951854261556</v>
      </c>
      <c r="P57" s="3">
        <f t="shared" si="10"/>
        <v>52.131883715433716</v>
      </c>
    </row>
    <row r="58" spans="12:16" x14ac:dyDescent="0.25">
      <c r="L58" s="3">
        <v>135</v>
      </c>
      <c r="M58" s="3">
        <v>3.3161999999999998</v>
      </c>
      <c r="N58" s="3">
        <f t="shared" si="8"/>
        <v>2.198</v>
      </c>
      <c r="O58" s="3">
        <f t="shared" si="9"/>
        <v>39.860723223677056</v>
      </c>
      <c r="P58" s="3">
        <f t="shared" si="10"/>
        <v>51.949893642164966</v>
      </c>
    </row>
    <row r="59" spans="12:16" x14ac:dyDescent="0.25">
      <c r="L59" s="3">
        <v>139</v>
      </c>
      <c r="M59" s="3">
        <v>3.2810999999999999</v>
      </c>
      <c r="N59" s="3">
        <f t="shared" si="8"/>
        <v>2.0964999999999998</v>
      </c>
      <c r="O59" s="3">
        <f t="shared" si="9"/>
        <v>38.985792918774173</v>
      </c>
      <c r="P59" s="3">
        <f t="shared" si="10"/>
        <v>49.550933585440795</v>
      </c>
    </row>
  </sheetData>
  <pageMargins left="0.7" right="0.7" top="0.75" bottom="0.75" header="0.3" footer="0.3"/>
  <pageSetup paperSize="9" scale="71" orientation="landscape" horizontalDpi="0" verticalDpi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450DE-9397-413B-A4B0-B7C520E853F8}">
  <dimension ref="C5:T23"/>
  <sheetViews>
    <sheetView zoomScale="55" zoomScaleNormal="55" workbookViewId="0">
      <selection activeCell="S23" sqref="S23"/>
    </sheetView>
  </sheetViews>
  <sheetFormatPr defaultColWidth="11.125" defaultRowHeight="15.75" x14ac:dyDescent="0.25"/>
  <sheetData>
    <row r="5" spans="3:16" x14ac:dyDescent="0.25">
      <c r="C5" t="s">
        <v>64</v>
      </c>
      <c r="D5" t="s">
        <v>56</v>
      </c>
      <c r="E5" t="s">
        <v>13</v>
      </c>
      <c r="F5" t="s">
        <v>12</v>
      </c>
      <c r="G5" t="s">
        <v>16</v>
      </c>
      <c r="H5" t="s">
        <v>57</v>
      </c>
      <c r="P5" t="s">
        <v>54</v>
      </c>
    </row>
    <row r="6" spans="3:16" x14ac:dyDescent="0.25">
      <c r="C6">
        <v>0</v>
      </c>
      <c r="D6">
        <v>12</v>
      </c>
      <c r="E6">
        <v>4.5540000000000003</v>
      </c>
      <c r="F6">
        <v>1.7205999999999999</v>
      </c>
      <c r="G6">
        <f>F6+E6</f>
        <v>6.2746000000000004</v>
      </c>
      <c r="H6">
        <f>E6/F6</f>
        <v>2.6467511333255844</v>
      </c>
      <c r="M6">
        <v>0</v>
      </c>
      <c r="N6">
        <f>H6</f>
        <v>2.6467511333255844</v>
      </c>
      <c r="O6">
        <v>100</v>
      </c>
      <c r="P6">
        <f>LN(N6)</f>
        <v>0.97333290043643728</v>
      </c>
    </row>
    <row r="7" spans="3:16" x14ac:dyDescent="0.25">
      <c r="C7">
        <v>24</v>
      </c>
      <c r="D7">
        <v>12</v>
      </c>
      <c r="E7">
        <v>4.1090999999999998</v>
      </c>
      <c r="F7">
        <v>1.9579</v>
      </c>
      <c r="G7">
        <f>E7+F7</f>
        <v>6.0670000000000002</v>
      </c>
      <c r="H7">
        <f>E7/F7</f>
        <v>2.0987282292251903</v>
      </c>
      <c r="M7">
        <f>C7</f>
        <v>24</v>
      </c>
      <c r="N7">
        <f>H7</f>
        <v>2.0987282292251903</v>
      </c>
      <c r="O7">
        <f>(E7/$E$6)*100</f>
        <v>90.230566534914345</v>
      </c>
      <c r="P7">
        <f t="shared" ref="P7:P8" si="0">LN(N7)</f>
        <v>0.74133155614565793</v>
      </c>
    </row>
    <row r="8" spans="3:16" x14ac:dyDescent="0.25">
      <c r="C8">
        <v>46</v>
      </c>
      <c r="D8">
        <v>12</v>
      </c>
      <c r="E8">
        <v>3.9628999999999999</v>
      </c>
      <c r="F8">
        <v>2.2521</v>
      </c>
      <c r="G8">
        <f t="shared" ref="G8:G10" si="1">E8+F8</f>
        <v>6.2149999999999999</v>
      </c>
      <c r="H8">
        <f t="shared" ref="H8:H10" si="2">E8/F8</f>
        <v>1.7596465521069224</v>
      </c>
      <c r="M8">
        <f>C8</f>
        <v>46</v>
      </c>
      <c r="N8">
        <f>H8</f>
        <v>1.7596465521069224</v>
      </c>
      <c r="O8">
        <f t="shared" ref="O8:O10" si="3">(E8/$E$6)*100</f>
        <v>87.020202020202007</v>
      </c>
      <c r="P8">
        <f t="shared" si="0"/>
        <v>0.56511296621596729</v>
      </c>
    </row>
    <row r="9" spans="3:16" x14ac:dyDescent="0.25">
      <c r="D9">
        <v>12</v>
      </c>
      <c r="G9">
        <f t="shared" si="1"/>
        <v>0</v>
      </c>
      <c r="H9" t="e">
        <f t="shared" si="2"/>
        <v>#DIV/0!</v>
      </c>
      <c r="M9">
        <f>C9</f>
        <v>0</v>
      </c>
      <c r="N9" t="e">
        <f>H9</f>
        <v>#DIV/0!</v>
      </c>
      <c r="O9">
        <f t="shared" si="3"/>
        <v>0</v>
      </c>
    </row>
    <row r="10" spans="3:16" x14ac:dyDescent="0.25">
      <c r="D10">
        <v>12</v>
      </c>
      <c r="G10">
        <f t="shared" si="1"/>
        <v>0</v>
      </c>
      <c r="H10" t="e">
        <f t="shared" si="2"/>
        <v>#DIV/0!</v>
      </c>
      <c r="M10">
        <f>C10</f>
        <v>0</v>
      </c>
      <c r="N10" t="e">
        <f>H10</f>
        <v>#DIV/0!</v>
      </c>
      <c r="O10">
        <f t="shared" si="3"/>
        <v>0</v>
      </c>
    </row>
    <row r="16" spans="3:16" x14ac:dyDescent="0.25">
      <c r="P16">
        <f>P17/24</f>
        <v>4.3998592045054563</v>
      </c>
    </row>
    <row r="17" spans="16:20" x14ac:dyDescent="0.25">
      <c r="P17">
        <f>50/0.4735</f>
        <v>105.59662090813094</v>
      </c>
    </row>
    <row r="22" spans="16:20" x14ac:dyDescent="0.25">
      <c r="S22">
        <f>LN(2)/T22</f>
        <v>77.881705680892736</v>
      </c>
      <c r="T22">
        <v>8.8999999999999999E-3</v>
      </c>
    </row>
    <row r="23" spans="16:20" x14ac:dyDescent="0.25">
      <c r="S23">
        <f>S22/24</f>
        <v>3.2450710700371972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04771-C77F-784F-BBDA-6FC885CB6CB4}">
  <sheetPr>
    <pageSetUpPr fitToPage="1"/>
  </sheetPr>
  <dimension ref="B2:AE132"/>
  <sheetViews>
    <sheetView zoomScale="95" zoomScaleNormal="95" workbookViewId="0">
      <selection activeCell="O9" sqref="O9"/>
    </sheetView>
  </sheetViews>
  <sheetFormatPr defaultColWidth="11.125" defaultRowHeight="15.75" x14ac:dyDescent="0.25"/>
  <cols>
    <col min="25" max="25" width="12.625" bestFit="1" customWidth="1"/>
  </cols>
  <sheetData>
    <row r="2" spans="2:28" x14ac:dyDescent="0.25">
      <c r="P2" t="s">
        <v>0</v>
      </c>
      <c r="Q2" t="e">
        <f>(#REF!+D4)/2</f>
        <v>#REF!</v>
      </c>
      <c r="R2" t="s">
        <v>1</v>
      </c>
      <c r="S2">
        <v>7</v>
      </c>
      <c r="T2" t="s">
        <v>2</v>
      </c>
    </row>
    <row r="4" spans="2:28" x14ac:dyDescent="0.25">
      <c r="D4" t="s">
        <v>3</v>
      </c>
      <c r="O4" t="s">
        <v>3</v>
      </c>
    </row>
    <row r="5" spans="2:28" x14ac:dyDescent="0.25">
      <c r="E5" t="s">
        <v>19</v>
      </c>
      <c r="F5" s="1" t="s">
        <v>6</v>
      </c>
      <c r="G5" t="s">
        <v>20</v>
      </c>
      <c r="H5" s="1" t="s">
        <v>8</v>
      </c>
      <c r="I5" s="2">
        <v>0.5</v>
      </c>
      <c r="O5" t="s">
        <v>4</v>
      </c>
      <c r="P5" t="s">
        <v>5</v>
      </c>
      <c r="Q5" s="1" t="s">
        <v>6</v>
      </c>
      <c r="R5" t="s">
        <v>7</v>
      </c>
      <c r="S5" s="1" t="s">
        <v>8</v>
      </c>
      <c r="T5" s="2">
        <v>0.5</v>
      </c>
      <c r="U5" s="2"/>
    </row>
    <row r="6" spans="2:28" x14ac:dyDescent="0.25">
      <c r="B6" t="s">
        <v>1</v>
      </c>
      <c r="C6" t="s">
        <v>9</v>
      </c>
      <c r="D6" t="s">
        <v>10</v>
      </c>
      <c r="E6" t="s">
        <v>11</v>
      </c>
      <c r="F6" t="s">
        <v>12</v>
      </c>
      <c r="G6" t="s">
        <v>13</v>
      </c>
      <c r="H6" t="s">
        <v>14</v>
      </c>
      <c r="I6" t="s">
        <v>15</v>
      </c>
      <c r="J6" t="s">
        <v>16</v>
      </c>
      <c r="K6" t="s">
        <v>46</v>
      </c>
      <c r="M6" t="s">
        <v>1</v>
      </c>
      <c r="N6" t="s">
        <v>9</v>
      </c>
      <c r="O6" t="s">
        <v>10</v>
      </c>
      <c r="P6" t="s">
        <v>11</v>
      </c>
      <c r="Q6" t="s">
        <v>12</v>
      </c>
      <c r="R6" t="s">
        <v>13</v>
      </c>
      <c r="S6" t="s">
        <v>14</v>
      </c>
      <c r="T6" t="s">
        <v>15</v>
      </c>
      <c r="U6" t="s">
        <v>54</v>
      </c>
      <c r="V6" t="s">
        <v>16</v>
      </c>
      <c r="W6" t="s">
        <v>17</v>
      </c>
      <c r="Y6" t="s">
        <v>65</v>
      </c>
      <c r="Z6" t="s">
        <v>88</v>
      </c>
      <c r="AA6" t="s">
        <v>66</v>
      </c>
      <c r="AB6" t="s">
        <v>92</v>
      </c>
    </row>
    <row r="7" spans="2:28" x14ac:dyDescent="0.25">
      <c r="B7" s="3">
        <v>0</v>
      </c>
      <c r="C7">
        <v>0</v>
      </c>
      <c r="D7">
        <v>0</v>
      </c>
      <c r="E7">
        <v>100</v>
      </c>
      <c r="F7" s="3">
        <v>10.9567</v>
      </c>
      <c r="G7" s="3">
        <v>33.564999999999998</v>
      </c>
      <c r="H7" s="3">
        <f>G7/(F7+G7)*100</f>
        <v>75.39020297967059</v>
      </c>
      <c r="I7" s="3">
        <f>H7/$H$7*100</f>
        <v>100</v>
      </c>
      <c r="J7">
        <f>F7+G7</f>
        <v>44.521699999999996</v>
      </c>
      <c r="K7" s="3">
        <f>LN(H7/100)</f>
        <v>-0.28249285337295221</v>
      </c>
      <c r="M7" s="3">
        <v>0</v>
      </c>
      <c r="N7">
        <v>0</v>
      </c>
      <c r="O7">
        <v>0</v>
      </c>
      <c r="P7">
        <v>100</v>
      </c>
      <c r="Q7" s="3">
        <v>15.2469</v>
      </c>
      <c r="R7" s="3">
        <v>29.1874</v>
      </c>
      <c r="S7" s="3">
        <f>R7/(Q7+R7)*100</f>
        <v>65.686642976259336</v>
      </c>
      <c r="T7" s="3">
        <f>S7/$S$7*100</f>
        <v>100</v>
      </c>
      <c r="U7">
        <f>LN(R7)</f>
        <v>3.37373710929905</v>
      </c>
      <c r="V7">
        <f>Q7+R7</f>
        <v>44.4343</v>
      </c>
      <c r="W7" t="s">
        <v>18</v>
      </c>
      <c r="Y7">
        <f>U7/$U$7</f>
        <v>1</v>
      </c>
      <c r="Z7">
        <f>LN(T7)</f>
        <v>4.6051701859880918</v>
      </c>
      <c r="AA7">
        <f>M7</f>
        <v>0</v>
      </c>
      <c r="AB7" s="3">
        <f>LN(S7/100)</f>
        <v>-0.42027458441971693</v>
      </c>
    </row>
    <row r="8" spans="2:28" x14ac:dyDescent="0.25">
      <c r="B8" s="3">
        <f t="shared" ref="B8:B14" si="0">C8/60</f>
        <v>25.5</v>
      </c>
      <c r="C8">
        <f>1440+90</f>
        <v>1530</v>
      </c>
      <c r="D8" s="3">
        <f t="shared" ref="D8:D14" si="1">C8/1440</f>
        <v>1.0625</v>
      </c>
      <c r="E8">
        <v>100</v>
      </c>
      <c r="F8" s="3">
        <v>14.1256</v>
      </c>
      <c r="G8" s="3">
        <v>30.286300000000001</v>
      </c>
      <c r="H8" s="3">
        <f t="shared" ref="H8:H14" si="2">G8/(F8+G8)*100</f>
        <v>68.194110137147916</v>
      </c>
      <c r="I8" s="3">
        <f t="shared" ref="I8:I14" si="3">H8/$H$7*100</f>
        <v>90.454870051930826</v>
      </c>
      <c r="J8">
        <f t="shared" ref="J8:J14" si="4">F8+G8</f>
        <v>44.411900000000003</v>
      </c>
      <c r="K8" s="3">
        <f t="shared" ref="K8:K14" si="5">LN(H8/100)</f>
        <v>-0.38281198649345205</v>
      </c>
      <c r="M8" s="3">
        <f t="shared" ref="M8:M13" si="6">N8/60</f>
        <v>20.733333333333334</v>
      </c>
      <c r="N8">
        <f>1440-196</f>
        <v>1244</v>
      </c>
      <c r="O8" s="3">
        <f t="shared" ref="O8:O13" si="7">N8/1440</f>
        <v>0.86388888888888893</v>
      </c>
      <c r="P8">
        <v>100</v>
      </c>
      <c r="Q8" s="3">
        <v>18.523800000000001</v>
      </c>
      <c r="R8" s="3">
        <v>25.8553</v>
      </c>
      <c r="S8" s="3">
        <f t="shared" ref="S8:S13" si="8">R8/(Q8+R8)*100</f>
        <v>58.260081885391998</v>
      </c>
      <c r="T8" s="3">
        <f t="shared" ref="T8:T13" si="9">S8/$S$7*100</f>
        <v>88.693955491755801</v>
      </c>
      <c r="U8">
        <f t="shared" ref="U8:U13" si="10">LN(R8)</f>
        <v>3.2525156089524021</v>
      </c>
      <c r="V8">
        <f t="shared" ref="V8:V13" si="11">Q8+R8</f>
        <v>44.379100000000001</v>
      </c>
      <c r="Y8">
        <f t="shared" ref="Y8:Y13" si="12">U8/$U$7</f>
        <v>0.96406907342823944</v>
      </c>
      <c r="Z8">
        <f t="shared" ref="Z8:Z13" si="13">LN(T8)</f>
        <v>4.4851917414665294</v>
      </c>
      <c r="AA8">
        <f t="shared" ref="AA8:AA13" si="14">M8</f>
        <v>20.733333333333334</v>
      </c>
      <c r="AB8" s="3">
        <f t="shared" ref="AB8:AB13" si="15">LN(S8/100)</f>
        <v>-0.54025302894127836</v>
      </c>
    </row>
    <row r="9" spans="2:28" x14ac:dyDescent="0.25">
      <c r="B9" s="3">
        <f t="shared" si="0"/>
        <v>71.599999999999994</v>
      </c>
      <c r="C9">
        <f>1440+1440+6-120+C8</f>
        <v>4296</v>
      </c>
      <c r="D9" s="3">
        <f t="shared" si="1"/>
        <v>2.9833333333333334</v>
      </c>
      <c r="E9">
        <v>100</v>
      </c>
      <c r="F9" s="3">
        <v>18.9922</v>
      </c>
      <c r="G9" s="3">
        <v>25.256499999999999</v>
      </c>
      <c r="H9" s="3">
        <f t="shared" si="2"/>
        <v>57.078513041061093</v>
      </c>
      <c r="I9" s="3">
        <f t="shared" si="3"/>
        <v>75.710783079404436</v>
      </c>
      <c r="J9">
        <f t="shared" si="4"/>
        <v>44.248699999999999</v>
      </c>
      <c r="K9" s="3">
        <f t="shared" si="5"/>
        <v>-0.56074244415568564</v>
      </c>
      <c r="M9" s="3">
        <f t="shared" si="6"/>
        <v>47.7</v>
      </c>
      <c r="N9">
        <f>1440+N8+178</f>
        <v>2862</v>
      </c>
      <c r="O9" s="3">
        <f t="shared" si="7"/>
        <v>1.9875</v>
      </c>
      <c r="P9">
        <v>100</v>
      </c>
      <c r="Q9" s="3">
        <v>21.330200000000001</v>
      </c>
      <c r="R9" s="3">
        <v>22.861499999999999</v>
      </c>
      <c r="S9" s="3">
        <f t="shared" si="8"/>
        <v>51.732565164951794</v>
      </c>
      <c r="T9" s="3">
        <f t="shared" si="9"/>
        <v>78.756597720558091</v>
      </c>
      <c r="U9">
        <f t="shared" si="10"/>
        <v>3.1294542730118771</v>
      </c>
      <c r="V9">
        <f t="shared" si="11"/>
        <v>44.191699999999997</v>
      </c>
      <c r="Y9">
        <f>U9/$U$7</f>
        <v>0.92759280632333363</v>
      </c>
      <c r="Z9">
        <f t="shared" si="13"/>
        <v>4.3663620547748616</v>
      </c>
      <c r="AA9">
        <f t="shared" si="14"/>
        <v>47.7</v>
      </c>
      <c r="AB9" s="3">
        <f>LN(S9/100)</f>
        <v>-0.65908271563294696</v>
      </c>
    </row>
    <row r="10" spans="2:28" x14ac:dyDescent="0.25">
      <c r="B10" s="3">
        <f t="shared" si="0"/>
        <v>95.88333333333334</v>
      </c>
      <c r="C10">
        <f>1440+C9+17</f>
        <v>5753</v>
      </c>
      <c r="D10" s="3">
        <f>C10/1440</f>
        <v>3.995138888888889</v>
      </c>
      <c r="E10">
        <v>100</v>
      </c>
      <c r="F10" s="3">
        <v>21.414999999999999</v>
      </c>
      <c r="G10" s="3">
        <v>22.752500000000001</v>
      </c>
      <c r="H10" s="3">
        <f t="shared" si="2"/>
        <v>51.514122375049517</v>
      </c>
      <c r="I10" s="3">
        <f t="shared" si="3"/>
        <v>68.329995594972203</v>
      </c>
      <c r="J10">
        <f t="shared" si="4"/>
        <v>44.167500000000004</v>
      </c>
      <c r="K10" s="3">
        <f t="shared" si="5"/>
        <v>-0.66331419503532485</v>
      </c>
      <c r="M10" s="3">
        <f t="shared" si="6"/>
        <v>71.8</v>
      </c>
      <c r="N10">
        <f>1440+N9+6</f>
        <v>4308</v>
      </c>
      <c r="O10" s="3">
        <f>N10/1440</f>
        <v>2.9916666666666667</v>
      </c>
      <c r="P10">
        <v>100</v>
      </c>
      <c r="Q10" s="3">
        <v>23.496700000000001</v>
      </c>
      <c r="R10" s="3">
        <v>20.777899999999999</v>
      </c>
      <c r="S10" s="3">
        <f t="shared" si="8"/>
        <v>46.929616529567738</v>
      </c>
      <c r="T10" s="3">
        <f t="shared" si="9"/>
        <v>71.444687082774465</v>
      </c>
      <c r="U10">
        <f t="shared" si="10"/>
        <v>3.0338899218540072</v>
      </c>
      <c r="V10">
        <f t="shared" si="11"/>
        <v>44.2746</v>
      </c>
      <c r="Y10">
        <f t="shared" si="12"/>
        <v>0.89926684372996335</v>
      </c>
      <c r="Z10">
        <f t="shared" si="13"/>
        <v>4.2689235430775465</v>
      </c>
      <c r="AA10">
        <f t="shared" si="14"/>
        <v>71.8</v>
      </c>
      <c r="AB10" s="3">
        <f t="shared" si="15"/>
        <v>-0.75652122733026206</v>
      </c>
    </row>
    <row r="11" spans="2:28" x14ac:dyDescent="0.25">
      <c r="B11" s="3">
        <f t="shared" si="0"/>
        <v>119.26666666666667</v>
      </c>
      <c r="C11">
        <f>1440+C10-37</f>
        <v>7156</v>
      </c>
      <c r="D11" s="3">
        <f>C11/1440</f>
        <v>4.9694444444444441</v>
      </c>
      <c r="E11">
        <v>100</v>
      </c>
      <c r="F11" s="3">
        <v>23.634499999999999</v>
      </c>
      <c r="G11" s="3">
        <v>20.519400000000001</v>
      </c>
      <c r="H11" s="3">
        <f t="shared" si="2"/>
        <v>46.4724520370794</v>
      </c>
      <c r="I11" s="3">
        <f t="shared" si="3"/>
        <v>61.642561235192552</v>
      </c>
      <c r="J11">
        <f t="shared" si="4"/>
        <v>44.1539</v>
      </c>
      <c r="K11" s="3">
        <f t="shared" si="5"/>
        <v>-0.7663104782604846</v>
      </c>
      <c r="M11" s="3">
        <f t="shared" si="6"/>
        <v>91.15</v>
      </c>
      <c r="N11">
        <f>1440+N10-279</f>
        <v>5469</v>
      </c>
      <c r="O11" s="3">
        <f t="shared" si="7"/>
        <v>3.7979166666666666</v>
      </c>
      <c r="P11">
        <v>100</v>
      </c>
      <c r="Q11" s="3">
        <v>25.2317</v>
      </c>
      <c r="R11" s="3">
        <v>18.8904</v>
      </c>
      <c r="S11" s="3">
        <f t="shared" si="8"/>
        <v>42.813918648477745</v>
      </c>
      <c r="T11" s="3">
        <f t="shared" si="9"/>
        <v>65.179032918384465</v>
      </c>
      <c r="U11">
        <f t="shared" si="10"/>
        <v>2.9386538565142128</v>
      </c>
      <c r="V11">
        <f t="shared" si="11"/>
        <v>44.122100000000003</v>
      </c>
      <c r="Y11">
        <f t="shared" si="12"/>
        <v>0.87103818741963779</v>
      </c>
      <c r="Z11">
        <f t="shared" si="13"/>
        <v>4.1771378362079741</v>
      </c>
      <c r="AA11">
        <f t="shared" si="14"/>
        <v>91.15</v>
      </c>
      <c r="AB11" s="3">
        <f t="shared" si="15"/>
        <v>-0.84830693419983427</v>
      </c>
    </row>
    <row r="12" spans="2:28" x14ac:dyDescent="0.25">
      <c r="B12" s="3">
        <f t="shared" si="0"/>
        <v>143.46666666666667</v>
      </c>
      <c r="C12">
        <f>1440+C11+12</f>
        <v>8608</v>
      </c>
      <c r="D12" s="3">
        <f t="shared" si="1"/>
        <v>5.9777777777777779</v>
      </c>
      <c r="E12">
        <v>100</v>
      </c>
      <c r="F12" s="3">
        <v>25.6159</v>
      </c>
      <c r="G12" s="3">
        <v>18.4969</v>
      </c>
      <c r="H12" s="3">
        <f t="shared" si="2"/>
        <v>41.930913476360601</v>
      </c>
      <c r="I12" s="3">
        <f t="shared" si="3"/>
        <v>55.618517816787836</v>
      </c>
      <c r="J12">
        <f t="shared" si="4"/>
        <v>44.1128</v>
      </c>
      <c r="K12" s="3">
        <f t="shared" si="5"/>
        <v>-0.86914683929599101</v>
      </c>
      <c r="M12" s="3">
        <f t="shared" si="6"/>
        <v>115.31666666666666</v>
      </c>
      <c r="N12">
        <f>1440+N11+10</f>
        <v>6919</v>
      </c>
      <c r="O12" s="3">
        <f t="shared" si="7"/>
        <v>4.8048611111111112</v>
      </c>
      <c r="P12">
        <v>100</v>
      </c>
      <c r="Q12" s="3">
        <v>26.970199999999998</v>
      </c>
      <c r="R12" s="3">
        <v>17.282699999999998</v>
      </c>
      <c r="S12" s="3">
        <f t="shared" si="8"/>
        <v>39.054389655819165</v>
      </c>
      <c r="T12" s="3">
        <f t="shared" si="9"/>
        <v>59.455602975378596</v>
      </c>
      <c r="U12">
        <f t="shared" si="10"/>
        <v>2.8497060011701496</v>
      </c>
      <c r="V12">
        <f t="shared" si="11"/>
        <v>44.252899999999997</v>
      </c>
      <c r="Y12">
        <f t="shared" si="12"/>
        <v>0.8446734018828822</v>
      </c>
      <c r="Z12">
        <f t="shared" si="13"/>
        <v>4.0852298655482926</v>
      </c>
      <c r="AA12">
        <f t="shared" si="14"/>
        <v>115.31666666666666</v>
      </c>
      <c r="AB12" s="3">
        <f t="shared" si="15"/>
        <v>-0.94021490485951542</v>
      </c>
    </row>
    <row r="13" spans="2:28" x14ac:dyDescent="0.25">
      <c r="B13" s="3">
        <f t="shared" si="0"/>
        <v>166.85</v>
      </c>
      <c r="C13">
        <f>1440+C12-37</f>
        <v>10011</v>
      </c>
      <c r="D13" s="3">
        <f t="shared" si="1"/>
        <v>6.9520833333333334</v>
      </c>
      <c r="E13">
        <v>100</v>
      </c>
      <c r="F13" s="3">
        <v>27.269100000000002</v>
      </c>
      <c r="G13" s="3">
        <v>16.8444</v>
      </c>
      <c r="H13" s="3">
        <f t="shared" si="2"/>
        <v>38.184229317555854</v>
      </c>
      <c r="I13" s="3">
        <f t="shared" si="3"/>
        <v>50.648794947338786</v>
      </c>
      <c r="J13">
        <f t="shared" si="4"/>
        <v>44.113500000000002</v>
      </c>
      <c r="K13" s="3">
        <f t="shared" si="5"/>
        <v>-0.96274760070971954</v>
      </c>
      <c r="M13" s="3">
        <f t="shared" si="6"/>
        <v>167.75</v>
      </c>
      <c r="N13">
        <f>1440+1440+N12+266</f>
        <v>10065</v>
      </c>
      <c r="O13" s="3">
        <f t="shared" si="7"/>
        <v>6.989583333333333</v>
      </c>
      <c r="P13">
        <v>100</v>
      </c>
      <c r="Q13" s="3">
        <v>30.260400000000001</v>
      </c>
      <c r="R13" s="3">
        <v>13.8117</v>
      </c>
      <c r="S13" s="3">
        <f t="shared" si="8"/>
        <v>31.338874253779604</v>
      </c>
      <c r="T13" s="3">
        <f t="shared" si="9"/>
        <v>47.709660341610387</v>
      </c>
      <c r="U13">
        <f t="shared" si="10"/>
        <v>2.6255160590485911</v>
      </c>
      <c r="V13">
        <f t="shared" si="11"/>
        <v>44.072099999999999</v>
      </c>
      <c r="Y13">
        <f t="shared" si="12"/>
        <v>0.77822188688379623</v>
      </c>
      <c r="Z13">
        <f t="shared" si="13"/>
        <v>3.8651339002742184</v>
      </c>
      <c r="AA13">
        <f t="shared" si="14"/>
        <v>167.75</v>
      </c>
      <c r="AB13" s="3">
        <f t="shared" si="15"/>
        <v>-1.16031087013359</v>
      </c>
    </row>
    <row r="14" spans="2:28" x14ac:dyDescent="0.25">
      <c r="B14" s="3">
        <f t="shared" si="0"/>
        <v>194.83333333333334</v>
      </c>
      <c r="C14">
        <f>1440+C13+59+180</f>
        <v>11690</v>
      </c>
      <c r="D14" s="3">
        <f t="shared" si="1"/>
        <v>8.1180555555555554</v>
      </c>
      <c r="E14">
        <v>100</v>
      </c>
      <c r="F14" s="3">
        <v>29.035</v>
      </c>
      <c r="G14" s="3">
        <v>15.057600000000001</v>
      </c>
      <c r="H14" s="3">
        <f t="shared" si="2"/>
        <v>34.149948063847447</v>
      </c>
      <c r="I14" s="3">
        <f t="shared" si="3"/>
        <v>45.297594003104329</v>
      </c>
      <c r="J14">
        <f t="shared" si="4"/>
        <v>44.092600000000004</v>
      </c>
      <c r="K14" s="3">
        <f t="shared" si="5"/>
        <v>-1.074409120796828</v>
      </c>
    </row>
    <row r="19" spans="14:31" x14ac:dyDescent="0.25">
      <c r="AD19" t="s">
        <v>93</v>
      </c>
      <c r="AE19" t="s">
        <v>89</v>
      </c>
    </row>
    <row r="20" spans="14:31" x14ac:dyDescent="0.25">
      <c r="AD20">
        <v>0</v>
      </c>
      <c r="AE20">
        <v>-0.28249285337295221</v>
      </c>
    </row>
    <row r="21" spans="14:31" x14ac:dyDescent="0.25">
      <c r="AD21">
        <v>25.5</v>
      </c>
      <c r="AE21">
        <v>-0.38281198649345205</v>
      </c>
    </row>
    <row r="22" spans="14:31" x14ac:dyDescent="0.25">
      <c r="N22">
        <v>0</v>
      </c>
      <c r="O22">
        <v>50</v>
      </c>
      <c r="AD22">
        <v>71.599999999999994</v>
      </c>
      <c r="AE22">
        <v>-0.56074244415568597</v>
      </c>
    </row>
    <row r="23" spans="14:31" x14ac:dyDescent="0.25">
      <c r="N23">
        <v>200</v>
      </c>
      <c r="O23">
        <v>50</v>
      </c>
      <c r="AD23">
        <v>95.88333333333334</v>
      </c>
      <c r="AE23">
        <v>-0.66331419503532485</v>
      </c>
    </row>
    <row r="24" spans="14:31" x14ac:dyDescent="0.25">
      <c r="AD24">
        <v>119.26666666666667</v>
      </c>
      <c r="AE24">
        <v>-0.7663104782604846</v>
      </c>
    </row>
    <row r="25" spans="14:31" x14ac:dyDescent="0.25">
      <c r="AD25">
        <v>143.46666666666667</v>
      </c>
      <c r="AE25">
        <v>-0.86914683929599101</v>
      </c>
    </row>
    <row r="26" spans="14:31" x14ac:dyDescent="0.25">
      <c r="AD26">
        <v>166.85</v>
      </c>
      <c r="AE26">
        <v>-0.96274760070971954</v>
      </c>
    </row>
    <row r="27" spans="14:31" x14ac:dyDescent="0.25">
      <c r="AD27">
        <v>194.83333333333334</v>
      </c>
      <c r="AE27">
        <v>-1.074409120796828</v>
      </c>
    </row>
    <row r="33" spans="20:31" x14ac:dyDescent="0.25">
      <c r="X33" t="s">
        <v>44</v>
      </c>
      <c r="Y33">
        <f>LN(2)/AA33</f>
        <v>169.06028794145004</v>
      </c>
      <c r="Z33" t="s">
        <v>45</v>
      </c>
      <c r="AA33">
        <v>4.1000000000000003E-3</v>
      </c>
    </row>
    <row r="34" spans="20:31" x14ac:dyDescent="0.25">
      <c r="Y34">
        <f>Y33/24</f>
        <v>7.0441786642270854</v>
      </c>
      <c r="Z34" t="s">
        <v>2</v>
      </c>
    </row>
    <row r="39" spans="20:31" x14ac:dyDescent="0.25">
      <c r="T39" s="1"/>
      <c r="U39" s="1"/>
      <c r="W39" s="1"/>
      <c r="X39" s="2"/>
    </row>
    <row r="42" spans="20:31" x14ac:dyDescent="0.25">
      <c r="AC42">
        <f>LN(2)/AE42</f>
        <v>157.53345012726029</v>
      </c>
      <c r="AD42" t="s">
        <v>45</v>
      </c>
      <c r="AE42">
        <v>4.4000000000000003E-3</v>
      </c>
    </row>
    <row r="43" spans="20:31" x14ac:dyDescent="0.25">
      <c r="AC43">
        <f>AC42/24</f>
        <v>6.5638937553025123</v>
      </c>
      <c r="AD43" t="s">
        <v>2</v>
      </c>
    </row>
    <row r="82" spans="5:10" x14ac:dyDescent="0.25">
      <c r="G82" s="1"/>
      <c r="I82" s="1"/>
      <c r="J82" s="2"/>
    </row>
    <row r="86" spans="5:10" x14ac:dyDescent="0.25">
      <c r="E86" s="3"/>
    </row>
    <row r="87" spans="5:10" x14ac:dyDescent="0.25">
      <c r="E87" s="3"/>
    </row>
    <row r="88" spans="5:10" x14ac:dyDescent="0.25">
      <c r="E88" s="3"/>
    </row>
    <row r="89" spans="5:10" x14ac:dyDescent="0.25">
      <c r="E89" s="3"/>
    </row>
    <row r="90" spans="5:10" x14ac:dyDescent="0.25">
      <c r="E90" s="3"/>
    </row>
    <row r="91" spans="5:10" x14ac:dyDescent="0.25">
      <c r="E91" s="3"/>
    </row>
    <row r="123" spans="5:21" x14ac:dyDescent="0.25">
      <c r="Q123" s="1"/>
      <c r="S123" s="1"/>
      <c r="T123" s="2"/>
      <c r="U123" s="2"/>
    </row>
    <row r="124" spans="5:21" x14ac:dyDescent="0.25">
      <c r="G124" s="1"/>
      <c r="I124" s="1"/>
      <c r="J124" s="2"/>
    </row>
    <row r="127" spans="5:21" x14ac:dyDescent="0.25">
      <c r="E127" s="3"/>
    </row>
    <row r="128" spans="5:21" x14ac:dyDescent="0.25">
      <c r="E128" s="3"/>
    </row>
    <row r="129" spans="5:5" x14ac:dyDescent="0.25">
      <c r="E129" s="3"/>
    </row>
    <row r="130" spans="5:5" x14ac:dyDescent="0.25">
      <c r="E130" s="3"/>
    </row>
    <row r="131" spans="5:5" x14ac:dyDescent="0.25">
      <c r="E131" s="3"/>
    </row>
    <row r="132" spans="5:5" x14ac:dyDescent="0.25">
      <c r="E132" s="3"/>
    </row>
  </sheetData>
  <pageMargins left="0.7" right="0.7" top="0.75" bottom="0.75" header="0.3" footer="0.3"/>
  <pageSetup paperSize="9" scale="54" orientation="landscape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E5681-0738-9342-8646-00A4ABE5D155}">
  <sheetPr>
    <pageSetUpPr fitToPage="1"/>
  </sheetPr>
  <dimension ref="B1:BW132"/>
  <sheetViews>
    <sheetView topLeftCell="AW1" zoomScale="93" zoomScaleNormal="93" workbookViewId="0">
      <selection activeCell="BI7" sqref="BI7:BI11"/>
    </sheetView>
  </sheetViews>
  <sheetFormatPr defaultColWidth="11.125" defaultRowHeight="15.75" x14ac:dyDescent="0.25"/>
  <cols>
    <col min="23" max="23" width="12.125" bestFit="1" customWidth="1"/>
    <col min="71" max="71" width="12" bestFit="1" customWidth="1"/>
  </cols>
  <sheetData>
    <row r="1" spans="2:75" x14ac:dyDescent="0.25">
      <c r="BK1" s="3"/>
    </row>
    <row r="2" spans="2:75" x14ac:dyDescent="0.25">
      <c r="P2" t="s">
        <v>0</v>
      </c>
      <c r="Q2" t="e">
        <f>(#REF!+D4)/2</f>
        <v>#REF!</v>
      </c>
      <c r="R2" t="s">
        <v>1</v>
      </c>
      <c r="S2">
        <v>7</v>
      </c>
      <c r="T2" t="s">
        <v>2</v>
      </c>
      <c r="BK2" s="3"/>
    </row>
    <row r="3" spans="2:75" x14ac:dyDescent="0.25">
      <c r="BK3" s="3"/>
    </row>
    <row r="4" spans="2:75" x14ac:dyDescent="0.25">
      <c r="D4" t="s">
        <v>3</v>
      </c>
      <c r="BK4" s="3"/>
    </row>
    <row r="5" spans="2:75" x14ac:dyDescent="0.25">
      <c r="E5" t="s">
        <v>19</v>
      </c>
      <c r="F5" s="1" t="s">
        <v>6</v>
      </c>
      <c r="G5" t="s">
        <v>20</v>
      </c>
      <c r="H5" s="1" t="s">
        <v>8</v>
      </c>
      <c r="I5" s="2">
        <v>0.5</v>
      </c>
      <c r="Q5" s="1"/>
      <c r="S5" s="1"/>
      <c r="T5" s="2"/>
      <c r="BK5" s="3"/>
    </row>
    <row r="6" spans="2:75" x14ac:dyDescent="0.25">
      <c r="B6" t="s">
        <v>1</v>
      </c>
      <c r="C6" t="s">
        <v>9</v>
      </c>
      <c r="D6" t="s">
        <v>10</v>
      </c>
      <c r="E6" t="s">
        <v>11</v>
      </c>
      <c r="F6" t="s">
        <v>12</v>
      </c>
      <c r="G6" t="s">
        <v>13</v>
      </c>
      <c r="H6" t="s">
        <v>14</v>
      </c>
      <c r="I6" t="s">
        <v>15</v>
      </c>
      <c r="J6" t="s">
        <v>16</v>
      </c>
      <c r="M6" t="s">
        <v>1</v>
      </c>
      <c r="N6" t="s">
        <v>9</v>
      </c>
      <c r="O6" t="s">
        <v>10</v>
      </c>
      <c r="P6" t="s">
        <v>11</v>
      </c>
      <c r="Q6" t="s">
        <v>26</v>
      </c>
      <c r="R6" t="s">
        <v>27</v>
      </c>
      <c r="S6" t="s">
        <v>28</v>
      </c>
      <c r="T6" t="s">
        <v>28</v>
      </c>
      <c r="V6" t="s">
        <v>29</v>
      </c>
      <c r="W6" t="s">
        <v>40</v>
      </c>
      <c r="AN6" t="s">
        <v>9</v>
      </c>
      <c r="AO6" t="s">
        <v>11</v>
      </c>
      <c r="AP6" t="s">
        <v>26</v>
      </c>
      <c r="AQ6" t="s">
        <v>27</v>
      </c>
      <c r="AR6" t="s">
        <v>28</v>
      </c>
      <c r="AS6" t="s">
        <v>28</v>
      </c>
      <c r="AU6" t="s">
        <v>47</v>
      </c>
      <c r="AV6" t="s">
        <v>48</v>
      </c>
      <c r="AW6" t="s">
        <v>49</v>
      </c>
      <c r="AX6" t="s">
        <v>16</v>
      </c>
      <c r="BB6" t="s">
        <v>9</v>
      </c>
      <c r="BC6" t="s">
        <v>1</v>
      </c>
      <c r="BD6" t="s">
        <v>11</v>
      </c>
      <c r="BE6" t="s">
        <v>26</v>
      </c>
      <c r="BF6" t="s">
        <v>27</v>
      </c>
      <c r="BG6" t="s">
        <v>28</v>
      </c>
      <c r="BH6" t="s">
        <v>28</v>
      </c>
      <c r="BK6" t="s">
        <v>47</v>
      </c>
      <c r="BL6" t="s">
        <v>48</v>
      </c>
      <c r="BM6" t="s">
        <v>49</v>
      </c>
      <c r="BN6" t="s">
        <v>16</v>
      </c>
      <c r="BP6" t="s">
        <v>65</v>
      </c>
      <c r="BR6" t="s">
        <v>66</v>
      </c>
      <c r="BS6" t="s">
        <v>92</v>
      </c>
      <c r="BT6" t="s">
        <v>97</v>
      </c>
    </row>
    <row r="7" spans="2:75" x14ac:dyDescent="0.25">
      <c r="B7">
        <v>0</v>
      </c>
      <c r="C7">
        <v>0</v>
      </c>
      <c r="D7">
        <v>0</v>
      </c>
      <c r="E7">
        <v>100</v>
      </c>
      <c r="F7">
        <v>10.9567</v>
      </c>
      <c r="G7">
        <v>33.564999999999998</v>
      </c>
      <c r="H7">
        <f>G7/(F7+G7)*100</f>
        <v>75.39020297967059</v>
      </c>
      <c r="I7">
        <f>H7/$H$7*100</f>
        <v>100</v>
      </c>
      <c r="J7">
        <f>F7+G7</f>
        <v>44.521699999999996</v>
      </c>
      <c r="M7">
        <v>0</v>
      </c>
      <c r="N7">
        <v>0</v>
      </c>
      <c r="O7">
        <v>0</v>
      </c>
      <c r="P7">
        <v>100</v>
      </c>
      <c r="Q7">
        <v>38.2333</v>
      </c>
      <c r="R7">
        <v>28.1143</v>
      </c>
      <c r="S7">
        <f>P7-((Q7/4)*9)</f>
        <v>13.975075000000004</v>
      </c>
      <c r="T7">
        <f t="shared" ref="T7:T14" si="0">P7-((R7/3)*9)</f>
        <v>15.6571</v>
      </c>
      <c r="U7">
        <f>(T7+S7)/2</f>
        <v>14.816087500000002</v>
      </c>
      <c r="W7">
        <f>LN(S7)</f>
        <v>2.6372753857530591</v>
      </c>
      <c r="X7">
        <f>LN(T7)</f>
        <v>2.7509244882285784</v>
      </c>
      <c r="AB7">
        <v>0</v>
      </c>
      <c r="AC7">
        <v>50</v>
      </c>
      <c r="AD7">
        <v>25</v>
      </c>
      <c r="AN7">
        <v>0</v>
      </c>
      <c r="AO7">
        <v>100</v>
      </c>
      <c r="AP7">
        <v>12.2125</v>
      </c>
      <c r="AQ7">
        <v>9.1875</v>
      </c>
      <c r="AR7">
        <f>AO7-((AP7/4)*9)</f>
        <v>72.521874999999994</v>
      </c>
      <c r="AS7">
        <f>AO7-((AQ7/3)*9)</f>
        <v>72.4375</v>
      </c>
      <c r="AT7">
        <f>(AS7+AR7)/2</f>
        <v>72.479687499999997</v>
      </c>
      <c r="AU7">
        <f>LN(AR7)</f>
        <v>4.2838882404889862</v>
      </c>
      <c r="AV7">
        <f>LN(AS7)</f>
        <v>4.2827241210999709</v>
      </c>
      <c r="AW7">
        <f>LN(AT7)</f>
        <v>4.2833063501912125</v>
      </c>
      <c r="AX7">
        <f>(AP7/4-AQ7/3)</f>
        <v>-9.3749999999999112E-3</v>
      </c>
      <c r="BB7">
        <v>0</v>
      </c>
      <c r="BC7" s="3">
        <f>BB7/60</f>
        <v>0</v>
      </c>
      <c r="BD7">
        <v>100</v>
      </c>
      <c r="BE7" s="3">
        <v>12.2125</v>
      </c>
      <c r="BF7" s="3">
        <v>9.1875</v>
      </c>
      <c r="BG7" s="3">
        <f>BD7-((BE7/4)*9)</f>
        <v>72.521874999999994</v>
      </c>
      <c r="BH7" s="3">
        <f>BD7-((BF7/3)*9)</f>
        <v>72.4375</v>
      </c>
      <c r="BI7" s="3">
        <f>(BH7+BG7)/2</f>
        <v>72.479687499999997</v>
      </c>
      <c r="BJ7" s="3">
        <f>BI7/$BI$7*100</f>
        <v>100</v>
      </c>
      <c r="BK7">
        <f>LN(BG7)</f>
        <v>4.2838882404889862</v>
      </c>
      <c r="BL7">
        <f>LN(BH7)</f>
        <v>4.2827241210999709</v>
      </c>
      <c r="BM7">
        <f>LN(BI7)</f>
        <v>4.2833063501912125</v>
      </c>
      <c r="BN7">
        <f>(BE7/4-BF7/3)</f>
        <v>-9.3749999999999112E-3</v>
      </c>
      <c r="BP7">
        <f>BM7/$BM$7</f>
        <v>1</v>
      </c>
      <c r="BR7">
        <f>BC7</f>
        <v>0</v>
      </c>
      <c r="BS7" s="3">
        <f>LN(BI7/100)</f>
        <v>-0.32186383579687849</v>
      </c>
      <c r="BT7">
        <f>BS7-LN((BI7+BI7-BH7)/100)</f>
        <v>-5.8189029777344636E-4</v>
      </c>
      <c r="BW7" s="8"/>
    </row>
    <row r="8" spans="2:75" x14ac:dyDescent="0.25">
      <c r="B8">
        <f t="shared" ref="B8:B14" si="1">C8/60</f>
        <v>25.5</v>
      </c>
      <c r="C8">
        <f>1440+90</f>
        <v>1530</v>
      </c>
      <c r="D8" s="3">
        <f t="shared" ref="D8:D14" si="2">C8/1440</f>
        <v>1.0625</v>
      </c>
      <c r="E8">
        <v>100</v>
      </c>
      <c r="F8">
        <v>14.1256</v>
      </c>
      <c r="G8">
        <v>30.286300000000001</v>
      </c>
      <c r="H8">
        <f t="shared" ref="H8:H14" si="3">G8/(F8+G8)*100</f>
        <v>68.194110137147916</v>
      </c>
      <c r="I8">
        <f t="shared" ref="I8:I14" si="4">H8/$H$7*100</f>
        <v>90.454870051930826</v>
      </c>
      <c r="J8">
        <f t="shared" ref="J8:J14" si="5">F8+G8</f>
        <v>44.411900000000003</v>
      </c>
      <c r="M8">
        <v>0</v>
      </c>
      <c r="N8">
        <v>0</v>
      </c>
      <c r="O8">
        <v>0</v>
      </c>
      <c r="P8">
        <v>100</v>
      </c>
      <c r="Q8">
        <v>16.373999999999999</v>
      </c>
      <c r="R8">
        <v>13.167999999999999</v>
      </c>
      <c r="S8">
        <f t="shared" ref="S8:S14" si="6">P8-((Q8/4)*9)</f>
        <v>63.158500000000004</v>
      </c>
      <c r="T8">
        <f t="shared" si="0"/>
        <v>60.496000000000002</v>
      </c>
      <c r="U8">
        <f t="shared" ref="U8:U14" si="7">(T8+S8)/2</f>
        <v>61.827250000000006</v>
      </c>
      <c r="V8">
        <f t="shared" ref="V8:V14" si="8">(T8+U8)/($T$8+$U$8)*100</f>
        <v>100</v>
      </c>
      <c r="W8">
        <f>LN(S8)</f>
        <v>4.1456474398970649</v>
      </c>
      <c r="X8">
        <f t="shared" ref="X8:X14" si="9">LN(T8)</f>
        <v>4.1025772471485773</v>
      </c>
      <c r="AB8">
        <v>147</v>
      </c>
      <c r="AC8">
        <v>50</v>
      </c>
      <c r="AD8">
        <v>25</v>
      </c>
      <c r="AN8">
        <v>53.56666666666667</v>
      </c>
      <c r="AO8">
        <v>100</v>
      </c>
      <c r="AP8">
        <v>12.2507</v>
      </c>
      <c r="AQ8">
        <v>9.2434999999999992</v>
      </c>
      <c r="AR8">
        <f t="shared" ref="AR8:AR12" si="10">AO8-((AP8/4)*9)</f>
        <v>72.435924999999997</v>
      </c>
      <c r="AS8">
        <f t="shared" ref="AS8:AS12" si="11">AO8-((AQ8/3)*9)</f>
        <v>72.269499999999994</v>
      </c>
      <c r="AT8">
        <f t="shared" ref="AT8:AT12" si="12">(AS8+AR8)/2</f>
        <v>72.352712499999996</v>
      </c>
      <c r="AU8">
        <f t="shared" ref="AU8:AW12" si="13">LN(AR8)</f>
        <v>4.2827023779817956</v>
      </c>
      <c r="AV8">
        <f t="shared" si="13"/>
        <v>4.2804021867708872</v>
      </c>
      <c r="AW8">
        <f t="shared" si="13"/>
        <v>4.2815529437361466</v>
      </c>
      <c r="AX8">
        <f>(AP8/4-AQ8/3)</f>
        <v>-1.8491666666666351E-2</v>
      </c>
      <c r="BB8">
        <v>53.56666666666667</v>
      </c>
      <c r="BC8" s="3">
        <f>BB8/60</f>
        <v>0.89277777777777778</v>
      </c>
      <c r="BD8">
        <v>100</v>
      </c>
      <c r="BE8" s="3">
        <v>12.2507</v>
      </c>
      <c r="BF8" s="3">
        <v>9.2434999999999992</v>
      </c>
      <c r="BG8" s="3">
        <f t="shared" ref="BG8:BG9" si="14">BD8-((BE8/4)*9)</f>
        <v>72.435924999999997</v>
      </c>
      <c r="BH8" s="3">
        <f t="shared" ref="BH8:BH9" si="15">BD8-((BF8/3)*9)</f>
        <v>72.269499999999994</v>
      </c>
      <c r="BI8" s="3">
        <f t="shared" ref="BI8:BI9" si="16">(BH8+BG8)/2</f>
        <v>72.352712499999996</v>
      </c>
      <c r="BJ8" s="3">
        <f t="shared" ref="BJ8:BJ11" si="17">BI8/$BI$7*100</f>
        <v>99.824812986397049</v>
      </c>
      <c r="BK8">
        <f t="shared" ref="BK8:BK9" si="18">LN(BG8)</f>
        <v>4.2827023779817956</v>
      </c>
      <c r="BL8">
        <f t="shared" ref="BL8:BL9" si="19">LN(BH8)</f>
        <v>4.2804021867708872</v>
      </c>
      <c r="BM8">
        <f t="shared" ref="BM8:BM9" si="20">LN(BI8)</f>
        <v>4.2815529437361466</v>
      </c>
      <c r="BN8">
        <f>(BE8/4-BF8/3)</f>
        <v>-1.8491666666666351E-2</v>
      </c>
      <c r="BP8">
        <f>BM8/$BM$7</f>
        <v>0.99959064182859869</v>
      </c>
      <c r="BR8">
        <f t="shared" ref="BR8:BR13" si="21">BC8</f>
        <v>0.89277777777777778</v>
      </c>
      <c r="BS8" s="3">
        <f t="shared" ref="BS8:BS13" si="22">LN(BI8/100)</f>
        <v>-0.32361724225194466</v>
      </c>
      <c r="BT8">
        <f>BS8-LN((BI8+BI8-BH8)/100)</f>
        <v>-1.1494342456492279E-3</v>
      </c>
      <c r="BW8" s="8"/>
    </row>
    <row r="9" spans="2:75" x14ac:dyDescent="0.25">
      <c r="B9">
        <f t="shared" si="1"/>
        <v>71.599999999999994</v>
      </c>
      <c r="C9">
        <f>1440+1440+6-120+C8</f>
        <v>4296</v>
      </c>
      <c r="D9" s="3">
        <f t="shared" si="2"/>
        <v>2.9833333333333334</v>
      </c>
      <c r="E9">
        <v>100</v>
      </c>
      <c r="F9">
        <v>18.9922</v>
      </c>
      <c r="G9">
        <v>25.256499999999999</v>
      </c>
      <c r="H9">
        <f t="shared" si="3"/>
        <v>57.078513041061093</v>
      </c>
      <c r="I9">
        <f t="shared" si="4"/>
        <v>75.710783079404436</v>
      </c>
      <c r="J9">
        <f t="shared" si="5"/>
        <v>44.248699999999999</v>
      </c>
      <c r="M9">
        <f>N9/60</f>
        <v>23.75</v>
      </c>
      <c r="N9">
        <f>1440-15</f>
        <v>1425</v>
      </c>
      <c r="O9">
        <f>N9/1440</f>
        <v>0.98958333333333337</v>
      </c>
      <c r="P9">
        <v>100</v>
      </c>
      <c r="Q9">
        <v>25.2395</v>
      </c>
      <c r="R9">
        <v>19.1739</v>
      </c>
      <c r="S9">
        <f t="shared" si="6"/>
        <v>43.211125000000003</v>
      </c>
      <c r="T9">
        <f t="shared" si="0"/>
        <v>42.478299999999997</v>
      </c>
      <c r="U9">
        <f t="shared" si="7"/>
        <v>42.8447125</v>
      </c>
      <c r="V9">
        <f t="shared" si="8"/>
        <v>69.752081063902409</v>
      </c>
      <c r="W9">
        <f t="shared" ref="W9:W14" si="23">LN(S9)</f>
        <v>3.7660979852448184</v>
      </c>
      <c r="X9">
        <f t="shared" si="9"/>
        <v>3.7489933573005167</v>
      </c>
      <c r="AN9">
        <f>AN8+65.4</f>
        <v>118.96666666666667</v>
      </c>
      <c r="AO9">
        <v>100</v>
      </c>
      <c r="AP9">
        <v>12.3339</v>
      </c>
      <c r="AQ9">
        <v>9.3254000000000001</v>
      </c>
      <c r="AR9">
        <f t="shared" si="10"/>
        <v>72.248725000000007</v>
      </c>
      <c r="AS9">
        <f t="shared" si="11"/>
        <v>72.023799999999994</v>
      </c>
      <c r="AT9">
        <f t="shared" si="12"/>
        <v>72.136262500000001</v>
      </c>
      <c r="AU9">
        <f t="shared" si="13"/>
        <v>4.2801146797780065</v>
      </c>
      <c r="AV9">
        <f t="shared" si="13"/>
        <v>4.2769966199501601</v>
      </c>
      <c r="AW9">
        <f t="shared" si="13"/>
        <v>4.2785568651507271</v>
      </c>
      <c r="AX9">
        <f t="shared" ref="AX9:AX14" si="24">(AP9/4-AQ9/3)</f>
        <v>-2.4991666666666745E-2</v>
      </c>
      <c r="BB9">
        <f>BB8+65.4</f>
        <v>118.96666666666667</v>
      </c>
      <c r="BC9" s="3">
        <f>BB9/60</f>
        <v>1.9827777777777778</v>
      </c>
      <c r="BD9">
        <v>100</v>
      </c>
      <c r="BE9" s="3">
        <v>12.3339</v>
      </c>
      <c r="BF9" s="3">
        <v>9.3254000000000001</v>
      </c>
      <c r="BG9" s="3">
        <f t="shared" si="14"/>
        <v>72.248725000000007</v>
      </c>
      <c r="BH9" s="3">
        <f t="shared" si="15"/>
        <v>72.023799999999994</v>
      </c>
      <c r="BI9" s="3">
        <f t="shared" si="16"/>
        <v>72.136262500000001</v>
      </c>
      <c r="BJ9" s="3">
        <f t="shared" si="17"/>
        <v>99.52617759286008</v>
      </c>
      <c r="BK9">
        <f t="shared" si="18"/>
        <v>4.2801146797780065</v>
      </c>
      <c r="BL9">
        <f t="shared" si="19"/>
        <v>4.2769966199501601</v>
      </c>
      <c r="BM9">
        <f t="shared" si="20"/>
        <v>4.2785568651507271</v>
      </c>
      <c r="BN9">
        <f t="shared" ref="BN9" si="25">(BE9/4-BF9/3)</f>
        <v>-2.4991666666666745E-2</v>
      </c>
      <c r="BP9">
        <f t="shared" ref="BP9:BP11" si="26">BM9/$BM$7</f>
        <v>0.99889116382248178</v>
      </c>
      <c r="BR9">
        <f>BC9</f>
        <v>1.9827777777777778</v>
      </c>
      <c r="BS9" s="3">
        <f t="shared" si="22"/>
        <v>-0.32661332083736405</v>
      </c>
      <c r="BT9">
        <f t="shared" ref="BT9:BT11" si="27">BS9-LN((BI9+BI9-BH9)/100)</f>
        <v>-1.5578146272795523E-3</v>
      </c>
      <c r="BW9" s="8"/>
    </row>
    <row r="10" spans="2:75" x14ac:dyDescent="0.25">
      <c r="B10">
        <f t="shared" si="1"/>
        <v>95.88333333333334</v>
      </c>
      <c r="C10">
        <f>1440+C9+17</f>
        <v>5753</v>
      </c>
      <c r="D10" s="3">
        <f>C10/1440</f>
        <v>3.995138888888889</v>
      </c>
      <c r="E10">
        <v>100</v>
      </c>
      <c r="F10">
        <v>21.414999999999999</v>
      </c>
      <c r="G10">
        <v>22.752500000000001</v>
      </c>
      <c r="H10">
        <f t="shared" si="3"/>
        <v>51.514122375049517</v>
      </c>
      <c r="I10">
        <f t="shared" si="4"/>
        <v>68.329995594972203</v>
      </c>
      <c r="J10">
        <f t="shared" si="5"/>
        <v>44.167500000000004</v>
      </c>
      <c r="M10">
        <f t="shared" ref="M10:M14" si="28">N10/60</f>
        <v>48.4</v>
      </c>
      <c r="N10">
        <f>1440+N9+39</f>
        <v>2904</v>
      </c>
      <c r="O10">
        <f t="shared" ref="O10:O14" si="29">N10/1440</f>
        <v>2.0166666666666666</v>
      </c>
      <c r="P10">
        <v>100</v>
      </c>
      <c r="Q10">
        <v>30.517700000000001</v>
      </c>
      <c r="R10">
        <v>22.821200000000001</v>
      </c>
      <c r="S10">
        <f t="shared" si="6"/>
        <v>31.335174999999992</v>
      </c>
      <c r="T10">
        <f t="shared" si="0"/>
        <v>31.5364</v>
      </c>
      <c r="U10">
        <f t="shared" si="7"/>
        <v>31.435787499999996</v>
      </c>
      <c r="V10">
        <f t="shared" si="8"/>
        <v>51.48014584308379</v>
      </c>
      <c r="W10">
        <f t="shared" si="23"/>
        <v>3.4447412684703624</v>
      </c>
      <c r="X10">
        <f t="shared" si="9"/>
        <v>3.4511424342467176</v>
      </c>
      <c r="AN10">
        <f>AN9+59.95</f>
        <v>178.91666666666669</v>
      </c>
      <c r="AO10">
        <v>100</v>
      </c>
      <c r="AP10">
        <v>12.104699999999999</v>
      </c>
      <c r="AQ10">
        <v>9.2463999999999995</v>
      </c>
      <c r="AR10">
        <f t="shared" si="10"/>
        <v>72.764425000000003</v>
      </c>
      <c r="AS10">
        <f t="shared" si="11"/>
        <v>72.260800000000003</v>
      </c>
      <c r="AT10">
        <f t="shared" si="12"/>
        <v>72.512612500000003</v>
      </c>
      <c r="AU10">
        <f t="shared" si="13"/>
        <v>4.2872271681833078</v>
      </c>
      <c r="AV10">
        <f t="shared" si="13"/>
        <v>4.2802817967902334</v>
      </c>
      <c r="AW10">
        <f t="shared" si="13"/>
        <v>4.2837605122476248</v>
      </c>
      <c r="AX10">
        <f t="shared" si="24"/>
        <v>-5.5958333333333332E-2</v>
      </c>
      <c r="BB10">
        <f>BB9+65.45+59.95</f>
        <v>244.36666666666667</v>
      </c>
      <c r="BC10" s="3">
        <f>BB10/60</f>
        <v>4.0727777777777776</v>
      </c>
      <c r="BD10">
        <v>100</v>
      </c>
      <c r="BE10" s="3">
        <v>12.6776</v>
      </c>
      <c r="BF10" s="3">
        <v>9.5518000000000001</v>
      </c>
      <c r="BG10" s="3">
        <f>BD10-((BE10/4)*9)</f>
        <v>71.475400000000008</v>
      </c>
      <c r="BH10" s="3">
        <f>BD10-((BF10/3)*9)</f>
        <v>71.3446</v>
      </c>
      <c r="BI10" s="3">
        <f>(BH10+BG10)/2</f>
        <v>71.41</v>
      </c>
      <c r="BJ10" s="3">
        <f t="shared" si="17"/>
        <v>98.524155474594181</v>
      </c>
      <c r="BK10">
        <f t="shared" ref="BK10:BM11" si="30">LN(BG10)</f>
        <v>4.2693533345550803</v>
      </c>
      <c r="BL10">
        <f t="shared" si="30"/>
        <v>4.2675216578071469</v>
      </c>
      <c r="BM10">
        <f t="shared" si="30"/>
        <v>4.2684379155610186</v>
      </c>
      <c r="BN10">
        <f>(BE10/4-BF10/3)</f>
        <v>-1.4533333333333509E-2</v>
      </c>
      <c r="BP10">
        <f t="shared" si="26"/>
        <v>0.99652874825786619</v>
      </c>
      <c r="BR10">
        <f t="shared" si="21"/>
        <v>4.0727777777777776</v>
      </c>
      <c r="BS10" s="3">
        <f>LN(BI10/100)</f>
        <v>-0.33673227042707282</v>
      </c>
      <c r="BT10">
        <f t="shared" si="27"/>
        <v>-9.1541899406166749E-4</v>
      </c>
      <c r="BW10" s="8"/>
    </row>
    <row r="11" spans="2:75" x14ac:dyDescent="0.25">
      <c r="B11">
        <f t="shared" si="1"/>
        <v>119.26666666666667</v>
      </c>
      <c r="C11">
        <f>1440+C10-37</f>
        <v>7156</v>
      </c>
      <c r="D11" s="3">
        <f>C11/1440</f>
        <v>4.9694444444444441</v>
      </c>
      <c r="E11">
        <v>100</v>
      </c>
      <c r="F11">
        <v>23.634499999999999</v>
      </c>
      <c r="G11">
        <v>20.519400000000001</v>
      </c>
      <c r="H11">
        <f t="shared" si="3"/>
        <v>46.4724520370794</v>
      </c>
      <c r="I11">
        <f t="shared" si="4"/>
        <v>61.642561235192552</v>
      </c>
      <c r="J11">
        <f t="shared" si="5"/>
        <v>44.1539</v>
      </c>
      <c r="M11">
        <f t="shared" si="28"/>
        <v>68.683333333333337</v>
      </c>
      <c r="N11">
        <f>N10+1440-43-180</f>
        <v>4121</v>
      </c>
      <c r="O11">
        <f t="shared" si="29"/>
        <v>2.8618055555555557</v>
      </c>
      <c r="P11">
        <v>100</v>
      </c>
      <c r="Q11">
        <v>33.221899999999998</v>
      </c>
      <c r="R11">
        <v>24.5854</v>
      </c>
      <c r="S11">
        <f t="shared" si="6"/>
        <v>25.250725000000003</v>
      </c>
      <c r="T11">
        <f t="shared" si="0"/>
        <v>26.243800000000007</v>
      </c>
      <c r="U11">
        <f t="shared" si="7"/>
        <v>25.747262500000005</v>
      </c>
      <c r="V11">
        <f t="shared" si="8"/>
        <v>42.503009444238941</v>
      </c>
      <c r="W11">
        <f t="shared" si="23"/>
        <v>3.2288548681804494</v>
      </c>
      <c r="X11">
        <f t="shared" si="9"/>
        <v>3.2674297706640791</v>
      </c>
      <c r="AN11">
        <f>AN10+65.45</f>
        <v>244.36666666666667</v>
      </c>
      <c r="AO11">
        <v>100</v>
      </c>
      <c r="AP11">
        <v>12.6776</v>
      </c>
      <c r="AQ11">
        <v>9.5518000000000001</v>
      </c>
      <c r="AR11">
        <f t="shared" si="10"/>
        <v>71.475400000000008</v>
      </c>
      <c r="AS11">
        <f t="shared" si="11"/>
        <v>71.3446</v>
      </c>
      <c r="AT11">
        <f t="shared" si="12"/>
        <v>71.41</v>
      </c>
      <c r="AU11">
        <f t="shared" si="13"/>
        <v>4.2693533345550803</v>
      </c>
      <c r="AV11">
        <f t="shared" si="13"/>
        <v>4.2675216578071469</v>
      </c>
      <c r="AW11">
        <f t="shared" si="13"/>
        <v>4.2684379155610186</v>
      </c>
      <c r="AX11">
        <f t="shared" si="24"/>
        <v>-1.4533333333333509E-2</v>
      </c>
      <c r="BB11">
        <f>BB10+53.85</f>
        <v>298.2166666666667</v>
      </c>
      <c r="BC11" s="3">
        <f>BB11/60</f>
        <v>4.9702777777777785</v>
      </c>
      <c r="BD11">
        <v>100</v>
      </c>
      <c r="BE11" s="3">
        <v>12.8485</v>
      </c>
      <c r="BF11" s="3">
        <v>9.6905999999999999</v>
      </c>
      <c r="BG11" s="3">
        <f>BD11-((BE11/4)*9)</f>
        <v>71.090874999999997</v>
      </c>
      <c r="BH11" s="3">
        <f>BD11-((BF11/3)*9)</f>
        <v>70.928200000000004</v>
      </c>
      <c r="BI11" s="3">
        <f>(BH11+BG11)/2</f>
        <v>71.009537499999993</v>
      </c>
      <c r="BJ11" s="3">
        <f t="shared" si="17"/>
        <v>97.971638605643818</v>
      </c>
      <c r="BK11">
        <f t="shared" si="30"/>
        <v>4.2639589882071833</v>
      </c>
      <c r="BL11">
        <f t="shared" si="30"/>
        <v>4.2616680977596069</v>
      </c>
      <c r="BM11">
        <f t="shared" si="30"/>
        <v>4.2628141990056321</v>
      </c>
      <c r="BN11">
        <f>(BE11/4-BF11/3)</f>
        <v>-1.8075000000000063E-2</v>
      </c>
      <c r="BP11">
        <f t="shared" si="26"/>
        <v>0.99521581005181536</v>
      </c>
      <c r="BR11">
        <f t="shared" si="21"/>
        <v>4.9702777777777785</v>
      </c>
      <c r="BS11" s="3">
        <f t="shared" si="22"/>
        <v>-0.34235598698245945</v>
      </c>
      <c r="BT11">
        <f t="shared" si="27"/>
        <v>-1.1447892015515326E-3</v>
      </c>
      <c r="BW11" s="8"/>
    </row>
    <row r="12" spans="2:75" x14ac:dyDescent="0.25">
      <c r="B12">
        <f t="shared" si="1"/>
        <v>143.46666666666667</v>
      </c>
      <c r="C12">
        <f>1440+C11+12</f>
        <v>8608</v>
      </c>
      <c r="D12" s="3">
        <f t="shared" si="2"/>
        <v>5.9777777777777779</v>
      </c>
      <c r="E12">
        <v>100</v>
      </c>
      <c r="F12">
        <v>25.6159</v>
      </c>
      <c r="G12">
        <v>18.4969</v>
      </c>
      <c r="H12">
        <f t="shared" si="3"/>
        <v>41.930913476360601</v>
      </c>
      <c r="I12">
        <f t="shared" si="4"/>
        <v>55.618517816787836</v>
      </c>
      <c r="J12">
        <f t="shared" si="5"/>
        <v>44.1128</v>
      </c>
      <c r="M12">
        <f t="shared" si="28"/>
        <v>96.933333333333337</v>
      </c>
      <c r="N12">
        <f>1440+N11+15+240</f>
        <v>5816</v>
      </c>
      <c r="O12">
        <f t="shared" si="29"/>
        <v>4.0388888888888888</v>
      </c>
      <c r="P12">
        <v>100</v>
      </c>
      <c r="Q12">
        <v>36.1357</v>
      </c>
      <c r="R12">
        <v>26.618200000000002</v>
      </c>
      <c r="S12">
        <f t="shared" si="6"/>
        <v>18.694675000000004</v>
      </c>
      <c r="T12">
        <f t="shared" si="0"/>
        <v>20.145399999999995</v>
      </c>
      <c r="U12">
        <f t="shared" si="7"/>
        <v>19.420037499999999</v>
      </c>
      <c r="V12">
        <f t="shared" si="8"/>
        <v>32.34498551992364</v>
      </c>
      <c r="W12">
        <f t="shared" si="23"/>
        <v>2.9282387239506078</v>
      </c>
      <c r="X12">
        <f>LN(T12)</f>
        <v>3.002975974489865</v>
      </c>
      <c r="AN12">
        <f>AN11+53.85</f>
        <v>298.2166666666667</v>
      </c>
      <c r="AO12">
        <v>100</v>
      </c>
      <c r="AP12">
        <v>12.8485</v>
      </c>
      <c r="AQ12">
        <v>9.6905999999999999</v>
      </c>
      <c r="AR12">
        <f t="shared" si="10"/>
        <v>71.090874999999997</v>
      </c>
      <c r="AS12">
        <f t="shared" si="11"/>
        <v>70.928200000000004</v>
      </c>
      <c r="AT12">
        <f t="shared" si="12"/>
        <v>71.009537499999993</v>
      </c>
      <c r="AU12">
        <f t="shared" si="13"/>
        <v>4.2639589882071833</v>
      </c>
      <c r="AV12">
        <f t="shared" si="13"/>
        <v>4.2616680977596069</v>
      </c>
      <c r="AW12">
        <f t="shared" si="13"/>
        <v>4.2628141990056321</v>
      </c>
      <c r="AX12">
        <f t="shared" si="24"/>
        <v>-1.8075000000000063E-2</v>
      </c>
      <c r="BP12">
        <f t="shared" ref="BP12:BP13" si="31">BL12/$U$7</f>
        <v>0</v>
      </c>
      <c r="BR12">
        <f t="shared" si="21"/>
        <v>0</v>
      </c>
      <c r="BS12" t="e">
        <f t="shared" si="22"/>
        <v>#NUM!</v>
      </c>
    </row>
    <row r="13" spans="2:75" x14ac:dyDescent="0.25">
      <c r="B13">
        <f t="shared" si="1"/>
        <v>166.85</v>
      </c>
      <c r="C13">
        <f>1440+C12-37</f>
        <v>10011</v>
      </c>
      <c r="D13" s="3">
        <f t="shared" si="2"/>
        <v>6.9520833333333334</v>
      </c>
      <c r="E13">
        <v>100</v>
      </c>
      <c r="F13">
        <v>27.269100000000002</v>
      </c>
      <c r="G13">
        <v>16.8444</v>
      </c>
      <c r="H13">
        <f t="shared" si="3"/>
        <v>38.184229317555854</v>
      </c>
      <c r="I13">
        <f t="shared" si="4"/>
        <v>50.648794947338786</v>
      </c>
      <c r="J13">
        <f t="shared" si="5"/>
        <v>44.113500000000002</v>
      </c>
      <c r="M13">
        <f t="shared" si="28"/>
        <v>117.73333333333333</v>
      </c>
      <c r="N13">
        <f>1440+N12-12-180</f>
        <v>7064</v>
      </c>
      <c r="O13">
        <f t="shared" si="29"/>
        <v>4.9055555555555559</v>
      </c>
      <c r="P13">
        <v>100</v>
      </c>
      <c r="Q13">
        <v>39.2575</v>
      </c>
      <c r="R13">
        <v>28.527100000000001</v>
      </c>
      <c r="S13">
        <f t="shared" si="6"/>
        <v>11.670625000000001</v>
      </c>
      <c r="T13">
        <f t="shared" si="0"/>
        <v>14.418700000000001</v>
      </c>
      <c r="U13">
        <f t="shared" si="7"/>
        <v>13.044662500000001</v>
      </c>
      <c r="V13">
        <f t="shared" si="8"/>
        <v>22.451465686204383</v>
      </c>
      <c r="W13">
        <f t="shared" si="23"/>
        <v>2.4570750009912077</v>
      </c>
      <c r="X13">
        <f t="shared" si="9"/>
        <v>2.6685259752269355</v>
      </c>
      <c r="AX13">
        <f t="shared" si="24"/>
        <v>0</v>
      </c>
      <c r="BP13">
        <f t="shared" si="31"/>
        <v>0</v>
      </c>
      <c r="BR13">
        <f t="shared" si="21"/>
        <v>0</v>
      </c>
      <c r="BS13" t="e">
        <f t="shared" si="22"/>
        <v>#NUM!</v>
      </c>
    </row>
    <row r="14" spans="2:75" x14ac:dyDescent="0.25">
      <c r="B14">
        <f t="shared" si="1"/>
        <v>194.83333333333334</v>
      </c>
      <c r="C14">
        <f>1440+C13+59+180</f>
        <v>11690</v>
      </c>
      <c r="D14" s="3">
        <f t="shared" si="2"/>
        <v>8.1180555555555554</v>
      </c>
      <c r="E14">
        <v>100</v>
      </c>
      <c r="F14">
        <v>29.035</v>
      </c>
      <c r="G14">
        <v>15.057600000000001</v>
      </c>
      <c r="H14">
        <f t="shared" si="3"/>
        <v>34.149948063847447</v>
      </c>
      <c r="I14">
        <f t="shared" si="4"/>
        <v>45.297594003104329</v>
      </c>
      <c r="J14">
        <f t="shared" si="5"/>
        <v>44.092600000000004</v>
      </c>
      <c r="M14">
        <f t="shared" si="28"/>
        <v>146.88333333333333</v>
      </c>
      <c r="N14">
        <f>1440+N13+9+300</f>
        <v>8813</v>
      </c>
      <c r="O14">
        <f t="shared" si="29"/>
        <v>6.1201388888888886</v>
      </c>
      <c r="P14">
        <v>100</v>
      </c>
      <c r="Q14">
        <v>40.128799999999998</v>
      </c>
      <c r="R14">
        <v>29.306100000000001</v>
      </c>
      <c r="S14">
        <f t="shared" si="6"/>
        <v>9.7102000000000004</v>
      </c>
      <c r="T14">
        <f t="shared" si="0"/>
        <v>12.081699999999998</v>
      </c>
      <c r="U14">
        <f t="shared" si="7"/>
        <v>10.895949999999999</v>
      </c>
      <c r="V14">
        <f t="shared" si="8"/>
        <v>18.784368466338165</v>
      </c>
      <c r="W14">
        <f t="shared" si="23"/>
        <v>2.2731768794134597</v>
      </c>
      <c r="X14">
        <f t="shared" si="9"/>
        <v>2.4916919110821669</v>
      </c>
      <c r="AN14" t="s">
        <v>50</v>
      </c>
      <c r="AO14" t="s">
        <v>51</v>
      </c>
      <c r="AX14">
        <f t="shared" si="24"/>
        <v>0</v>
      </c>
    </row>
    <row r="15" spans="2:75" x14ac:dyDescent="0.25">
      <c r="AM15" t="s">
        <v>52</v>
      </c>
      <c r="AN15">
        <f>(AM18-AM17)*60+AN17-AN18+(AO17-AO18)/60</f>
        <v>53.85</v>
      </c>
      <c r="AO15">
        <f>(AM17-AM18)*60+AN18-AN17+(AO18-AO17)/60</f>
        <v>-53.85</v>
      </c>
    </row>
    <row r="16" spans="2:75" x14ac:dyDescent="0.25">
      <c r="AM16" t="s">
        <v>1</v>
      </c>
      <c r="AN16" t="s">
        <v>9</v>
      </c>
      <c r="AO16" t="s">
        <v>53</v>
      </c>
    </row>
    <row r="17" spans="14:41" x14ac:dyDescent="0.25">
      <c r="AM17">
        <v>16</v>
      </c>
      <c r="AN17">
        <v>12</v>
      </c>
      <c r="AO17">
        <v>18</v>
      </c>
    </row>
    <row r="18" spans="14:41" x14ac:dyDescent="0.25">
      <c r="AM18">
        <v>17</v>
      </c>
      <c r="AN18">
        <v>18</v>
      </c>
      <c r="AO18">
        <v>27</v>
      </c>
    </row>
    <row r="22" spans="14:41" x14ac:dyDescent="0.25">
      <c r="N22">
        <v>0</v>
      </c>
      <c r="O22">
        <v>50</v>
      </c>
    </row>
    <row r="23" spans="14:41" x14ac:dyDescent="0.25">
      <c r="N23">
        <v>200</v>
      </c>
      <c r="O23">
        <v>50</v>
      </c>
    </row>
    <row r="35" spans="20:47" x14ac:dyDescent="0.25">
      <c r="X35" t="s">
        <v>44</v>
      </c>
      <c r="Y35">
        <f>LN(2)/AA35</f>
        <v>53.732339578290329</v>
      </c>
      <c r="Z35" t="s">
        <v>45</v>
      </c>
      <c r="AA35">
        <v>1.29E-2</v>
      </c>
    </row>
    <row r="36" spans="20:47" x14ac:dyDescent="0.25">
      <c r="X36" t="s">
        <v>44</v>
      </c>
      <c r="Y36">
        <f>LN(2)/AA36</f>
        <v>63.013380050904118</v>
      </c>
      <c r="Z36" t="s">
        <v>45</v>
      </c>
      <c r="AA36">
        <v>1.0999999999999999E-2</v>
      </c>
    </row>
    <row r="39" spans="20:47" x14ac:dyDescent="0.25">
      <c r="T39" s="1"/>
      <c r="V39" s="1"/>
      <c r="W39" s="2"/>
    </row>
    <row r="42" spans="20:47" x14ac:dyDescent="0.25">
      <c r="AU42">
        <f>-7*10^-5</f>
        <v>-7.0000000000000007E-5</v>
      </c>
    </row>
    <row r="43" spans="20:47" x14ac:dyDescent="0.25">
      <c r="AS43" t="s">
        <v>44</v>
      </c>
      <c r="AT43">
        <f>LN(2)/-AU42</f>
        <v>9902.1025794277884</v>
      </c>
      <c r="AU43" t="s">
        <v>9</v>
      </c>
    </row>
    <row r="44" spans="20:47" x14ac:dyDescent="0.25">
      <c r="AT44">
        <f>AT43/60</f>
        <v>165.03504299046315</v>
      </c>
      <c r="AU44" t="s">
        <v>1</v>
      </c>
    </row>
    <row r="45" spans="20:47" x14ac:dyDescent="0.25">
      <c r="AT45">
        <f>AT44/24</f>
        <v>6.8764601246026311</v>
      </c>
      <c r="AU45" t="s">
        <v>2</v>
      </c>
    </row>
    <row r="82" spans="5:10" x14ac:dyDescent="0.25">
      <c r="G82" s="1"/>
      <c r="I82" s="1"/>
      <c r="J82" s="2"/>
    </row>
    <row r="86" spans="5:10" x14ac:dyDescent="0.25">
      <c r="E86" s="3"/>
    </row>
    <row r="87" spans="5:10" x14ac:dyDescent="0.25">
      <c r="E87" s="3"/>
    </row>
    <row r="88" spans="5:10" x14ac:dyDescent="0.25">
      <c r="E88" s="3"/>
    </row>
    <row r="89" spans="5:10" x14ac:dyDescent="0.25">
      <c r="E89" s="3"/>
    </row>
    <row r="90" spans="5:10" x14ac:dyDescent="0.25">
      <c r="E90" s="3"/>
    </row>
    <row r="91" spans="5:10" x14ac:dyDescent="0.25">
      <c r="E91" s="3"/>
    </row>
    <row r="123" spans="5:20" x14ac:dyDescent="0.25">
      <c r="Q123" s="1"/>
      <c r="S123" s="1"/>
      <c r="T123" s="2"/>
    </row>
    <row r="124" spans="5:20" x14ac:dyDescent="0.25">
      <c r="G124" s="1"/>
      <c r="I124" s="1"/>
      <c r="J124" s="2"/>
    </row>
    <row r="127" spans="5:20" x14ac:dyDescent="0.25">
      <c r="E127" s="3"/>
    </row>
    <row r="128" spans="5:20" x14ac:dyDescent="0.25">
      <c r="E128" s="3"/>
    </row>
    <row r="129" spans="5:5" x14ac:dyDescent="0.25">
      <c r="E129" s="3"/>
    </row>
    <row r="130" spans="5:5" x14ac:dyDescent="0.25">
      <c r="E130" s="3"/>
    </row>
    <row r="131" spans="5:5" x14ac:dyDescent="0.25">
      <c r="E131" s="3"/>
    </row>
    <row r="132" spans="5:5" x14ac:dyDescent="0.25">
      <c r="E132" s="3"/>
    </row>
  </sheetData>
  <pageMargins left="0.7" right="0.7" top="0.75" bottom="0.75" header="0.3" footer="0.3"/>
  <pageSetup paperSize="9" scale="54" orientation="landscape" horizontalDpi="0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135DE-E170-6B49-B9F5-B2A76793B579}">
  <sheetPr>
    <pageSetUpPr fitToPage="1"/>
  </sheetPr>
  <dimension ref="D4:AD62"/>
  <sheetViews>
    <sheetView zoomScale="75" zoomScaleNormal="70" workbookViewId="0">
      <selection activeCell="J10" sqref="J10:J16"/>
    </sheetView>
  </sheetViews>
  <sheetFormatPr defaultColWidth="11.125" defaultRowHeight="15.75" x14ac:dyDescent="0.25"/>
  <sheetData>
    <row r="4" spans="4:30" x14ac:dyDescent="0.25">
      <c r="G4" t="s">
        <v>22</v>
      </c>
      <c r="H4">
        <v>97.512440521139411</v>
      </c>
      <c r="I4" t="s">
        <v>1</v>
      </c>
      <c r="J4">
        <v>4.0630183550474754</v>
      </c>
      <c r="K4" t="s">
        <v>2</v>
      </c>
    </row>
    <row r="5" spans="4:30" x14ac:dyDescent="0.25">
      <c r="R5" t="s">
        <v>23</v>
      </c>
    </row>
    <row r="6" spans="4:30" x14ac:dyDescent="0.25">
      <c r="F6" t="s">
        <v>23</v>
      </c>
      <c r="R6" t="s">
        <v>24</v>
      </c>
      <c r="T6" s="1" t="s">
        <v>6</v>
      </c>
      <c r="U6" t="s">
        <v>25</v>
      </c>
      <c r="V6" s="1" t="s">
        <v>8</v>
      </c>
      <c r="W6" s="2">
        <v>0.5</v>
      </c>
      <c r="X6" s="2"/>
    </row>
    <row r="7" spans="4:30" x14ac:dyDescent="0.25">
      <c r="F7" t="s">
        <v>23</v>
      </c>
      <c r="G7" t="s">
        <v>5</v>
      </c>
      <c r="H7" s="1" t="s">
        <v>6</v>
      </c>
      <c r="I7" t="s">
        <v>20</v>
      </c>
      <c r="J7" s="1" t="s">
        <v>8</v>
      </c>
      <c r="K7" s="2">
        <v>0.5</v>
      </c>
      <c r="L7" s="2"/>
    </row>
    <row r="8" spans="4:30" x14ac:dyDescent="0.25">
      <c r="D8" t="s">
        <v>1</v>
      </c>
      <c r="E8" t="s">
        <v>9</v>
      </c>
      <c r="F8" t="s">
        <v>10</v>
      </c>
      <c r="G8" t="s">
        <v>11</v>
      </c>
      <c r="H8" t="s">
        <v>12</v>
      </c>
      <c r="I8" t="s">
        <v>13</v>
      </c>
      <c r="J8" t="s">
        <v>14</v>
      </c>
      <c r="K8" t="s">
        <v>15</v>
      </c>
      <c r="L8" t="s">
        <v>54</v>
      </c>
      <c r="M8" t="s">
        <v>16</v>
      </c>
      <c r="N8" t="s">
        <v>92</v>
      </c>
      <c r="P8" t="s">
        <v>1</v>
      </c>
      <c r="Q8" t="s">
        <v>9</v>
      </c>
      <c r="R8" t="s">
        <v>10</v>
      </c>
      <c r="S8" t="s">
        <v>11</v>
      </c>
      <c r="T8" t="s">
        <v>12</v>
      </c>
      <c r="U8" t="s">
        <v>13</v>
      </c>
      <c r="V8" t="s">
        <v>14</v>
      </c>
      <c r="W8" t="s">
        <v>15</v>
      </c>
      <c r="X8" t="s">
        <v>55</v>
      </c>
      <c r="Y8" t="s">
        <v>16</v>
      </c>
      <c r="AA8" t="s">
        <v>65</v>
      </c>
      <c r="AC8" t="s">
        <v>66</v>
      </c>
      <c r="AD8" t="s">
        <v>92</v>
      </c>
    </row>
    <row r="9" spans="4:30" x14ac:dyDescent="0.25">
      <c r="D9">
        <f>E9/60</f>
        <v>-2</v>
      </c>
      <c r="E9">
        <v>-120</v>
      </c>
      <c r="F9">
        <v>-0.1</v>
      </c>
      <c r="G9">
        <v>100</v>
      </c>
      <c r="H9">
        <v>40.884099999999997</v>
      </c>
      <c r="I9">
        <v>1.4303999999999999</v>
      </c>
      <c r="J9">
        <f t="shared" ref="J9:J16" si="0">(I9*2)/((H9+I9*2))*100</f>
        <v>6.5397337746800206</v>
      </c>
      <c r="K9">
        <f>J9/$J$10*100</f>
        <v>6.785144017121354</v>
      </c>
      <c r="L9">
        <f>LN(I9)</f>
        <v>0.35795412543711258</v>
      </c>
      <c r="M9">
        <f>H9+I9*2</f>
        <v>43.744899999999994</v>
      </c>
      <c r="N9">
        <f>LN(J9/100)</f>
        <v>-2.7272737285830169</v>
      </c>
      <c r="P9" s="3">
        <f t="shared" ref="P9:P10" si="1">Q9/60</f>
        <v>0</v>
      </c>
      <c r="Q9">
        <v>0</v>
      </c>
      <c r="R9" s="3">
        <f t="shared" ref="R9:R15" si="2">Q9/1440</f>
        <v>0</v>
      </c>
      <c r="S9">
        <v>100</v>
      </c>
      <c r="T9" s="3">
        <v>13.1252</v>
      </c>
      <c r="U9" s="3">
        <v>15.890599999999999</v>
      </c>
      <c r="V9" s="3">
        <f t="shared" ref="V9:V15" si="3">(U9*2)/((T9+U9*2))*100</f>
        <v>70.772094846168926</v>
      </c>
      <c r="W9" s="3">
        <f>V9/$V$9*100</f>
        <v>100</v>
      </c>
      <c r="X9">
        <f>LN(U9)</f>
        <v>2.7657277394329798</v>
      </c>
      <c r="Y9">
        <f>T9+U9*2</f>
        <v>44.906399999999998</v>
      </c>
      <c r="AA9">
        <f>X9/$X$9</f>
        <v>1</v>
      </c>
      <c r="AC9">
        <f>Q9</f>
        <v>0</v>
      </c>
      <c r="AD9" s="3">
        <f>LN(V9/100)</f>
        <v>-0.34570540357306978</v>
      </c>
    </row>
    <row r="10" spans="4:30" x14ac:dyDescent="0.25">
      <c r="D10" s="3">
        <v>0</v>
      </c>
      <c r="E10">
        <v>0</v>
      </c>
      <c r="F10">
        <v>0</v>
      </c>
      <c r="G10">
        <v>100</v>
      </c>
      <c r="H10" s="3">
        <v>1.6363000000000001</v>
      </c>
      <c r="I10" s="3">
        <v>21.802199999999999</v>
      </c>
      <c r="J10" s="3">
        <f t="shared" si="0"/>
        <v>96.383124045383923</v>
      </c>
      <c r="K10" s="3">
        <f t="shared" ref="K10:K16" si="4">J10/$J$10*100</f>
        <v>100</v>
      </c>
      <c r="L10">
        <f t="shared" ref="L10:L16" si="5">LN(I10)</f>
        <v>3.0820108821344148</v>
      </c>
      <c r="M10">
        <f t="shared" ref="M10:M16" si="6">H10+I10*2</f>
        <v>45.240699999999997</v>
      </c>
      <c r="N10" s="3">
        <f t="shared" ref="N10:N15" si="7">LN(J10/100)</f>
        <v>-3.6839061466567929E-2</v>
      </c>
      <c r="P10" s="3">
        <f t="shared" si="1"/>
        <v>19.25</v>
      </c>
      <c r="Q10">
        <f>1440-300+15</f>
        <v>1155</v>
      </c>
      <c r="R10" s="3">
        <f t="shared" si="2"/>
        <v>0.80208333333333337</v>
      </c>
      <c r="S10">
        <v>100</v>
      </c>
      <c r="T10" s="3">
        <v>18.232700000000001</v>
      </c>
      <c r="U10" s="3">
        <v>13.393000000000001</v>
      </c>
      <c r="V10" s="3">
        <f t="shared" si="3"/>
        <v>59.499719005657646</v>
      </c>
      <c r="W10" s="3">
        <f>V10/$V$9*100</f>
        <v>84.07228743897852</v>
      </c>
      <c r="X10">
        <f t="shared" ref="X10:X15" si="8">LN(U10)</f>
        <v>2.5947321824049849</v>
      </c>
      <c r="Y10">
        <f t="shared" ref="Y10:Y15" si="9">T10+U10*2</f>
        <v>45.018700000000003</v>
      </c>
      <c r="AA10">
        <f t="shared" ref="AA10:AA15" si="10">X10/$X$9</f>
        <v>0.93817339480311546</v>
      </c>
      <c r="AC10">
        <f>P10</f>
        <v>19.25</v>
      </c>
      <c r="AD10" s="3">
        <f t="shared" ref="AD10:AD15" si="11">LN(V10/100)</f>
        <v>-0.51919859604164786</v>
      </c>
    </row>
    <row r="11" spans="4:30" x14ac:dyDescent="0.25">
      <c r="D11" s="3">
        <f t="shared" ref="D11:D16" si="12">E11/60</f>
        <v>25.733333333333334</v>
      </c>
      <c r="E11">
        <f>1440+104</f>
        <v>1544</v>
      </c>
      <c r="F11" s="3">
        <f t="shared" ref="F11:F16" si="13">E11/1440</f>
        <v>1.0722222222222222</v>
      </c>
      <c r="G11">
        <v>100</v>
      </c>
      <c r="H11" s="3">
        <v>9.5387000000000004</v>
      </c>
      <c r="I11" s="3">
        <v>17.577100000000002</v>
      </c>
      <c r="J11" s="3">
        <f t="shared" si="0"/>
        <v>78.657236384302649</v>
      </c>
      <c r="K11" s="3">
        <f t="shared" si="4"/>
        <v>81.608930155931986</v>
      </c>
      <c r="L11">
        <f t="shared" si="5"/>
        <v>2.8665969184675788</v>
      </c>
      <c r="M11">
        <f t="shared" si="6"/>
        <v>44.692900000000002</v>
      </c>
      <c r="N11" s="3">
        <f t="shared" si="7"/>
        <v>-0.24007055328707835</v>
      </c>
      <c r="P11" s="3">
        <f>Q11/60</f>
        <v>51.966666666666669</v>
      </c>
      <c r="Q11">
        <f>1440+1440+240-2</f>
        <v>3118</v>
      </c>
      <c r="R11" s="3">
        <f>Q11/1440</f>
        <v>2.1652777777777779</v>
      </c>
      <c r="S11">
        <v>100</v>
      </c>
      <c r="T11" s="3">
        <v>27.709700000000002</v>
      </c>
      <c r="U11" s="3">
        <v>8.8055000000000003</v>
      </c>
      <c r="V11" s="3">
        <f t="shared" si="3"/>
        <v>38.858623101584925</v>
      </c>
      <c r="W11" s="3">
        <f>V11/$V$9*100</f>
        <v>54.906701837847947</v>
      </c>
      <c r="X11">
        <f t="shared" si="8"/>
        <v>2.1753765262530029</v>
      </c>
      <c r="Y11">
        <f t="shared" si="9"/>
        <v>45.320700000000002</v>
      </c>
      <c r="AA11">
        <f t="shared" si="10"/>
        <v>0.78654760381402955</v>
      </c>
      <c r="AC11">
        <f t="shared" ref="AC11:AC15" si="14">P11</f>
        <v>51.966666666666669</v>
      </c>
      <c r="AD11" s="3">
        <f t="shared" si="11"/>
        <v>-0.94524017494690271</v>
      </c>
    </row>
    <row r="12" spans="4:30" x14ac:dyDescent="0.25">
      <c r="D12" s="3">
        <f t="shared" si="12"/>
        <v>48.383333333333333</v>
      </c>
      <c r="E12">
        <f>1440+E11-81</f>
        <v>2903</v>
      </c>
      <c r="F12" s="3">
        <f t="shared" si="13"/>
        <v>2.0159722222222221</v>
      </c>
      <c r="G12">
        <v>100</v>
      </c>
      <c r="H12" s="3">
        <v>15.429500000000001</v>
      </c>
      <c r="I12" s="3">
        <v>14.629300000000001</v>
      </c>
      <c r="J12" s="3">
        <f t="shared" si="0"/>
        <v>65.47291113294142</v>
      </c>
      <c r="K12" s="3">
        <f t="shared" si="4"/>
        <v>67.929849526471244</v>
      </c>
      <c r="L12">
        <f t="shared" si="5"/>
        <v>2.6830263669973817</v>
      </c>
      <c r="M12">
        <f t="shared" si="6"/>
        <v>44.688100000000006</v>
      </c>
      <c r="N12" s="3">
        <f t="shared" si="7"/>
        <v>-0.42353369938019031</v>
      </c>
      <c r="P12" s="3">
        <f>Q12/60</f>
        <v>73.166666666666671</v>
      </c>
      <c r="Q12">
        <f>1440+Q11-180+12</f>
        <v>4390</v>
      </c>
      <c r="R12" s="3">
        <f>Q12/1440</f>
        <v>3.0486111111111112</v>
      </c>
      <c r="S12">
        <v>100</v>
      </c>
      <c r="T12" s="3">
        <v>30.7407</v>
      </c>
      <c r="U12" s="3">
        <v>7.0114999999999998</v>
      </c>
      <c r="V12" s="3">
        <f t="shared" si="3"/>
        <v>31.326722321881345</v>
      </c>
      <c r="W12" s="3">
        <f>V12/$V$9*100</f>
        <v>44.264229269987673</v>
      </c>
      <c r="X12">
        <f t="shared" si="8"/>
        <v>1.9475516581845684</v>
      </c>
      <c r="Y12">
        <f t="shared" si="9"/>
        <v>44.7637</v>
      </c>
      <c r="AA12">
        <f t="shared" si="10"/>
        <v>0.70417331048783893</v>
      </c>
      <c r="AC12">
        <f t="shared" si="14"/>
        <v>73.166666666666671</v>
      </c>
      <c r="AD12" s="3">
        <f t="shared" si="11"/>
        <v>-1.160698704374852</v>
      </c>
    </row>
    <row r="13" spans="4:30" x14ac:dyDescent="0.25">
      <c r="D13" s="3">
        <f t="shared" si="12"/>
        <v>71.45</v>
      </c>
      <c r="E13">
        <f>1440+E12-56</f>
        <v>4287</v>
      </c>
      <c r="F13" s="3">
        <f t="shared" si="13"/>
        <v>2.9770833333333333</v>
      </c>
      <c r="G13">
        <v>100</v>
      </c>
      <c r="H13" s="3">
        <v>20.558299999999999</v>
      </c>
      <c r="I13" s="3">
        <v>12.1945</v>
      </c>
      <c r="J13" s="3">
        <f t="shared" si="0"/>
        <v>54.261323817003472</v>
      </c>
      <c r="K13" s="3">
        <f t="shared" si="4"/>
        <v>56.297535854361222</v>
      </c>
      <c r="L13">
        <f t="shared" si="5"/>
        <v>2.5009850304173398</v>
      </c>
      <c r="M13">
        <f t="shared" si="6"/>
        <v>44.947299999999998</v>
      </c>
      <c r="N13" s="3">
        <f t="shared" si="7"/>
        <v>-0.61135848139544213</v>
      </c>
      <c r="P13" s="3">
        <f t="shared" ref="P13:P15" si="15">Q13/60</f>
        <v>96.63333333333334</v>
      </c>
      <c r="Q13">
        <f>1440+Q12-32</f>
        <v>5798</v>
      </c>
      <c r="R13" s="3">
        <f t="shared" si="2"/>
        <v>4.0263888888888886</v>
      </c>
      <c r="S13">
        <v>100</v>
      </c>
      <c r="T13" s="3">
        <v>33.188299999999998</v>
      </c>
      <c r="U13" s="3">
        <v>5.6025999999999998</v>
      </c>
      <c r="V13" s="3">
        <f t="shared" si="3"/>
        <v>25.24063207451541</v>
      </c>
      <c r="W13" s="3">
        <f>V13/$V$9*100</f>
        <v>35.66466716772868</v>
      </c>
      <c r="X13">
        <f t="shared" si="8"/>
        <v>1.723230775708126</v>
      </c>
      <c r="Y13">
        <f t="shared" si="9"/>
        <v>44.393499999999996</v>
      </c>
      <c r="AA13">
        <f t="shared" si="10"/>
        <v>0.62306594793796188</v>
      </c>
      <c r="AC13">
        <f t="shared" si="14"/>
        <v>96.63333333333334</v>
      </c>
      <c r="AD13" s="3">
        <f t="shared" si="11"/>
        <v>-1.3767151060567129</v>
      </c>
    </row>
    <row r="14" spans="4:30" x14ac:dyDescent="0.25">
      <c r="D14" s="3">
        <f t="shared" si="12"/>
        <v>142.08333333333334</v>
      </c>
      <c r="E14">
        <f>1440*3+E13-60-22</f>
        <v>8525</v>
      </c>
      <c r="F14" s="3">
        <f t="shared" si="13"/>
        <v>5.9201388888888893</v>
      </c>
      <c r="G14">
        <v>100</v>
      </c>
      <c r="H14" s="3">
        <v>29.6127</v>
      </c>
      <c r="I14" s="3">
        <v>7.7088000000000001</v>
      </c>
      <c r="J14" s="3">
        <f t="shared" si="0"/>
        <v>34.238279558430662</v>
      </c>
      <c r="K14" s="3">
        <f t="shared" si="4"/>
        <v>35.523106246596534</v>
      </c>
      <c r="L14">
        <f t="shared" si="5"/>
        <v>2.042362533438415</v>
      </c>
      <c r="M14">
        <f t="shared" si="6"/>
        <v>45.030299999999997</v>
      </c>
      <c r="N14" s="3">
        <f t="shared" si="7"/>
        <v>-1.0718258825181104</v>
      </c>
      <c r="P14" s="3">
        <f t="shared" si="15"/>
        <v>120.76666666666667</v>
      </c>
      <c r="Q14">
        <f>1440+Q13+8</f>
        <v>7246</v>
      </c>
      <c r="R14" s="3">
        <f t="shared" si="2"/>
        <v>5.0319444444444441</v>
      </c>
      <c r="S14">
        <v>100</v>
      </c>
      <c r="T14" s="3">
        <v>34.329900000000002</v>
      </c>
      <c r="U14" s="3">
        <v>5.0776000000000003</v>
      </c>
      <c r="V14" s="3">
        <f t="shared" si="3"/>
        <v>22.828317796295838</v>
      </c>
      <c r="W14" s="3">
        <f t="shared" ref="W14:W15" si="16">V14/$V$9*100</f>
        <v>32.256100156305592</v>
      </c>
      <c r="X14">
        <f t="shared" si="8"/>
        <v>1.6248387090101233</v>
      </c>
      <c r="Y14">
        <f t="shared" si="9"/>
        <v>44.485100000000003</v>
      </c>
      <c r="AA14">
        <f t="shared" si="10"/>
        <v>0.58749047704284962</v>
      </c>
      <c r="AC14">
        <f t="shared" si="14"/>
        <v>120.76666666666667</v>
      </c>
      <c r="AD14" s="3">
        <f t="shared" si="11"/>
        <v>-1.4771684120728823</v>
      </c>
    </row>
    <row r="15" spans="4:30" x14ac:dyDescent="0.25">
      <c r="D15" s="3">
        <f t="shared" si="12"/>
        <v>167.45</v>
      </c>
      <c r="E15">
        <f>1440+E14+60+22</f>
        <v>10047</v>
      </c>
      <c r="F15" s="3">
        <f t="shared" si="13"/>
        <v>6.9770833333333337</v>
      </c>
      <c r="G15">
        <v>100</v>
      </c>
      <c r="H15" s="3">
        <v>31.559799999999999</v>
      </c>
      <c r="I15" s="3">
        <v>6.7171000000000003</v>
      </c>
      <c r="J15" s="3">
        <f t="shared" si="0"/>
        <v>29.857758812286082</v>
      </c>
      <c r="K15" s="3">
        <f t="shared" si="4"/>
        <v>30.978201949780086</v>
      </c>
      <c r="L15">
        <f t="shared" si="5"/>
        <v>1.9046565137725386</v>
      </c>
      <c r="M15">
        <f t="shared" si="6"/>
        <v>44.994</v>
      </c>
      <c r="N15" s="3">
        <f t="shared" si="7"/>
        <v>-1.2087254532148233</v>
      </c>
      <c r="P15" s="3">
        <f t="shared" si="15"/>
        <v>144.15</v>
      </c>
      <c r="Q15">
        <f>1440+Q14-37</f>
        <v>8649</v>
      </c>
      <c r="R15" s="3">
        <f t="shared" si="2"/>
        <v>6.0062499999999996</v>
      </c>
      <c r="S15">
        <v>100</v>
      </c>
      <c r="T15" s="3">
        <v>35.068600000000004</v>
      </c>
      <c r="U15" s="3">
        <v>4.7821999999999996</v>
      </c>
      <c r="V15" s="3">
        <f t="shared" si="3"/>
        <v>21.428987520444512</v>
      </c>
      <c r="W15" s="3">
        <f t="shared" si="16"/>
        <v>30.278865656051039</v>
      </c>
      <c r="X15">
        <f t="shared" si="8"/>
        <v>1.5649006916663641</v>
      </c>
      <c r="Y15">
        <f t="shared" si="9"/>
        <v>44.633000000000003</v>
      </c>
      <c r="AA15">
        <f t="shared" si="10"/>
        <v>0.56581877867240638</v>
      </c>
      <c r="AC15">
        <f t="shared" si="14"/>
        <v>144.15</v>
      </c>
      <c r="AD15" s="3">
        <f t="shared" si="11"/>
        <v>-1.5404256235149245</v>
      </c>
    </row>
    <row r="16" spans="4:30" x14ac:dyDescent="0.25">
      <c r="D16" s="3">
        <f t="shared" si="12"/>
        <v>192.65</v>
      </c>
      <c r="E16">
        <f>1440+E15+72</f>
        <v>11559</v>
      </c>
      <c r="F16" s="3">
        <f t="shared" si="13"/>
        <v>8.0270833333333336</v>
      </c>
      <c r="G16">
        <v>100</v>
      </c>
      <c r="H16" s="3">
        <v>32.987900000000003</v>
      </c>
      <c r="I16" s="3">
        <v>5.9915000000000003</v>
      </c>
      <c r="J16" s="3">
        <f t="shared" si="0"/>
        <v>26.646120046518973</v>
      </c>
      <c r="K16" s="3">
        <f t="shared" si="4"/>
        <v>27.64604313299921</v>
      </c>
      <c r="L16">
        <f t="shared" si="5"/>
        <v>1.7903417981404344</v>
      </c>
      <c r="M16">
        <f t="shared" si="6"/>
        <v>44.9709</v>
      </c>
      <c r="N16" s="3">
        <f>LN(J16/100)</f>
        <v>-1.3225266352242002</v>
      </c>
    </row>
    <row r="31" spans="20:21" x14ac:dyDescent="0.25">
      <c r="T31">
        <v>0</v>
      </c>
      <c r="U31">
        <v>50</v>
      </c>
    </row>
    <row r="32" spans="20:21" x14ac:dyDescent="0.25">
      <c r="T32">
        <v>195</v>
      </c>
      <c r="U32">
        <v>50</v>
      </c>
    </row>
    <row r="54" spans="23:24" x14ac:dyDescent="0.25">
      <c r="W54">
        <f>LN(2)/X54</f>
        <v>103.45480306864854</v>
      </c>
      <c r="X54">
        <v>6.7000000000000002E-3</v>
      </c>
    </row>
    <row r="55" spans="23:24" x14ac:dyDescent="0.25">
      <c r="W55">
        <f>W54/24</f>
        <v>4.3106167945270224</v>
      </c>
    </row>
    <row r="61" spans="23:24" x14ac:dyDescent="0.25">
      <c r="W61">
        <f>LN(2)/X61</f>
        <v>77.881705680892736</v>
      </c>
      <c r="X61">
        <v>8.8999999999999999E-3</v>
      </c>
    </row>
    <row r="62" spans="23:24" x14ac:dyDescent="0.25">
      <c r="W62">
        <f>W61/24</f>
        <v>3.2450710700371972</v>
      </c>
    </row>
  </sheetData>
  <pageMargins left="0.7" right="0.7" top="0.75" bottom="0.75" header="0.3" footer="0.3"/>
  <pageSetup paperSize="9" scale="56" orientation="landscape" horizontalDpi="0" verticalDpi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65CFA-D957-0D41-8BD0-AB466AB8F1FC}">
  <sheetPr>
    <pageSetUpPr fitToPage="1"/>
  </sheetPr>
  <dimension ref="C2:AD60"/>
  <sheetViews>
    <sheetView zoomScale="88" zoomScaleNormal="88" workbookViewId="0">
      <selection activeCell="I7" sqref="I7:I13"/>
    </sheetView>
  </sheetViews>
  <sheetFormatPr defaultColWidth="11.125" defaultRowHeight="15.75" x14ac:dyDescent="0.25"/>
  <sheetData>
    <row r="2" spans="3:30" x14ac:dyDescent="0.25">
      <c r="Q2" t="s">
        <v>21</v>
      </c>
    </row>
    <row r="3" spans="3:30" x14ac:dyDescent="0.25">
      <c r="E3" t="s">
        <v>21</v>
      </c>
      <c r="Q3" t="s">
        <v>24</v>
      </c>
      <c r="S3" s="1" t="s">
        <v>6</v>
      </c>
      <c r="T3" t="s">
        <v>25</v>
      </c>
      <c r="U3" s="1" t="s">
        <v>8</v>
      </c>
      <c r="V3" s="2">
        <v>0.5</v>
      </c>
      <c r="W3" s="2"/>
    </row>
    <row r="4" spans="3:30" x14ac:dyDescent="0.25">
      <c r="E4" t="s">
        <v>21</v>
      </c>
      <c r="F4" t="s">
        <v>19</v>
      </c>
      <c r="G4" s="1" t="s">
        <v>6</v>
      </c>
      <c r="H4" t="s">
        <v>20</v>
      </c>
      <c r="I4" s="1" t="s">
        <v>8</v>
      </c>
      <c r="J4" s="2">
        <v>1</v>
      </c>
      <c r="K4" s="2"/>
    </row>
    <row r="5" spans="3:30" x14ac:dyDescent="0.25">
      <c r="C5" t="s">
        <v>1</v>
      </c>
      <c r="D5" t="s">
        <v>9</v>
      </c>
      <c r="E5" t="s">
        <v>10</v>
      </c>
      <c r="F5" t="s">
        <v>11</v>
      </c>
      <c r="G5" t="s">
        <v>12</v>
      </c>
      <c r="H5" t="s">
        <v>13</v>
      </c>
      <c r="I5" t="s">
        <v>14</v>
      </c>
      <c r="J5" t="s">
        <v>15</v>
      </c>
      <c r="K5" t="s">
        <v>54</v>
      </c>
      <c r="L5" t="s">
        <v>16</v>
      </c>
      <c r="M5" t="s">
        <v>92</v>
      </c>
      <c r="O5" t="s">
        <v>1</v>
      </c>
      <c r="P5" t="s">
        <v>9</v>
      </c>
      <c r="Q5" t="s">
        <v>10</v>
      </c>
      <c r="R5" t="s">
        <v>11</v>
      </c>
      <c r="S5" t="s">
        <v>12</v>
      </c>
      <c r="T5" t="s">
        <v>13</v>
      </c>
      <c r="U5" t="s">
        <v>14</v>
      </c>
      <c r="V5" t="s">
        <v>15</v>
      </c>
      <c r="W5" t="s">
        <v>55</v>
      </c>
      <c r="X5" t="s">
        <v>16</v>
      </c>
      <c r="AA5" t="s">
        <v>65</v>
      </c>
      <c r="AC5" t="s">
        <v>66</v>
      </c>
      <c r="AD5" t="s">
        <v>92</v>
      </c>
    </row>
    <row r="6" spans="3:30" x14ac:dyDescent="0.25">
      <c r="C6">
        <f>D6/60</f>
        <v>-2</v>
      </c>
      <c r="D6">
        <v>-120</v>
      </c>
      <c r="E6">
        <v>-0.1</v>
      </c>
      <c r="F6">
        <v>100</v>
      </c>
      <c r="G6">
        <v>42.337800000000001</v>
      </c>
      <c r="H6">
        <v>1.2788999999999999</v>
      </c>
      <c r="I6">
        <f t="shared" ref="I6:I13" si="0">(H6*2)/((G6+H6*2))*100</f>
        <v>5.6972175447037126</v>
      </c>
      <c r="J6">
        <f>I6/$I$7*100</f>
        <v>5.8913545502119042</v>
      </c>
      <c r="K6">
        <f>LN(H6)</f>
        <v>0.24600033345713723</v>
      </c>
      <c r="L6">
        <f>G6+H6*2</f>
        <v>44.895600000000002</v>
      </c>
      <c r="M6">
        <f>LN(I6/100)</f>
        <v>-2.8651922803835919</v>
      </c>
      <c r="O6" s="3">
        <f>P6/60</f>
        <v>0</v>
      </c>
      <c r="P6">
        <v>0</v>
      </c>
      <c r="Q6">
        <f>P6/1440</f>
        <v>0</v>
      </c>
      <c r="R6">
        <v>100</v>
      </c>
      <c r="S6" s="3">
        <v>8.6952999999999996</v>
      </c>
      <c r="T6" s="3">
        <v>17.991900000000001</v>
      </c>
      <c r="U6" s="3">
        <f t="shared" ref="U6:U12" si="1">(T6*2)/((S6+T6*2))*100</f>
        <v>80.538327763988079</v>
      </c>
      <c r="V6" s="3">
        <f>U6/$U$6*100</f>
        <v>100</v>
      </c>
      <c r="W6">
        <f>LN(T6)</f>
        <v>2.8899216566157797</v>
      </c>
      <c r="X6">
        <f t="shared" ref="X6:X12" si="2">S6+T6*2</f>
        <v>44.679100000000005</v>
      </c>
      <c r="AA6">
        <f>W6/$W$6</f>
        <v>1</v>
      </c>
      <c r="AC6">
        <f>O6</f>
        <v>0</v>
      </c>
      <c r="AD6" s="3">
        <f>LN(U6/100)</f>
        <v>-0.21643699358157381</v>
      </c>
    </row>
    <row r="7" spans="3:30" x14ac:dyDescent="0.25">
      <c r="C7" s="3">
        <v>0</v>
      </c>
      <c r="D7">
        <v>0</v>
      </c>
      <c r="E7">
        <v>0</v>
      </c>
      <c r="F7">
        <v>100</v>
      </c>
      <c r="G7" s="3">
        <v>1.4721</v>
      </c>
      <c r="H7" s="3">
        <v>21.6004</v>
      </c>
      <c r="I7" s="3">
        <f t="shared" si="0"/>
        <v>96.704713595938486</v>
      </c>
      <c r="J7" s="3">
        <f t="shared" ref="J7:J13" si="3">I7/$I$7*100</f>
        <v>100</v>
      </c>
      <c r="K7">
        <f t="shared" ref="K7:K13" si="4">LN(H7)</f>
        <v>3.0727118330371721</v>
      </c>
      <c r="L7">
        <f t="shared" ref="L7:L13" si="5">G7+H7*2</f>
        <v>44.672899999999998</v>
      </c>
      <c r="M7" s="3">
        <f t="shared" ref="M7:M13" si="6">LN(I7/100)</f>
        <v>-3.3508040187982216E-2</v>
      </c>
      <c r="O7" s="3">
        <f>P7/60</f>
        <v>19.25</v>
      </c>
      <c r="P7">
        <v>1155</v>
      </c>
      <c r="Q7">
        <f t="shared" ref="Q7:Q12" si="7">P7/1440</f>
        <v>0.80208333333333337</v>
      </c>
      <c r="R7">
        <v>100</v>
      </c>
      <c r="S7" s="3">
        <v>14.740600000000001</v>
      </c>
      <c r="T7" s="3">
        <v>15.2033</v>
      </c>
      <c r="U7" s="3">
        <f t="shared" si="1"/>
        <v>67.34991317290995</v>
      </c>
      <c r="V7" s="3">
        <f>U7/$U$6*100</f>
        <v>83.624672926254632</v>
      </c>
      <c r="W7">
        <f t="shared" ref="W7:W12" si="8">LN(T7)</f>
        <v>2.7215125095514514</v>
      </c>
      <c r="X7">
        <f t="shared" si="2"/>
        <v>45.147199999999998</v>
      </c>
      <c r="AA7">
        <f t="shared" ref="AA7:AA12" si="9">W7/$W$6</f>
        <v>0.94172535899760601</v>
      </c>
      <c r="AC7">
        <f t="shared" ref="AC7:AC12" si="10">O7</f>
        <v>19.25</v>
      </c>
      <c r="AD7" s="3">
        <f t="shared" ref="AD7:AD12" si="11">LN(U7/100)</f>
        <v>-0.39526857232468082</v>
      </c>
    </row>
    <row r="8" spans="3:30" x14ac:dyDescent="0.25">
      <c r="C8" s="3">
        <f t="shared" ref="C8:C13" si="12">D8/60</f>
        <v>22.933333333333334</v>
      </c>
      <c r="D8">
        <f>1440-64</f>
        <v>1376</v>
      </c>
      <c r="E8">
        <v>1</v>
      </c>
      <c r="F8">
        <v>100</v>
      </c>
      <c r="G8" s="3">
        <v>8.6019000000000005</v>
      </c>
      <c r="H8" s="3">
        <v>18.0108</v>
      </c>
      <c r="I8" s="3">
        <f t="shared" si="0"/>
        <v>80.723385660022188</v>
      </c>
      <c r="J8" s="3">
        <f t="shared" si="3"/>
        <v>83.474096203116716</v>
      </c>
      <c r="K8">
        <f t="shared" si="4"/>
        <v>2.8909715779681324</v>
      </c>
      <c r="L8">
        <f t="shared" si="5"/>
        <v>44.6235</v>
      </c>
      <c r="M8" s="3">
        <f t="shared" si="6"/>
        <v>-0.21414186756140288</v>
      </c>
      <c r="O8" s="3">
        <f>P8/60</f>
        <v>51.966666666666669</v>
      </c>
      <c r="P8">
        <f>1440+1440+240-2</f>
        <v>3118</v>
      </c>
      <c r="Q8">
        <f t="shared" si="7"/>
        <v>2.1652777777777779</v>
      </c>
      <c r="R8">
        <v>100</v>
      </c>
      <c r="S8" s="3">
        <v>25.149699999999999</v>
      </c>
      <c r="T8" s="3">
        <v>10.2281</v>
      </c>
      <c r="U8" s="3">
        <f t="shared" si="1"/>
        <v>44.854284204456</v>
      </c>
      <c r="V8" s="3">
        <f>U8/$U$6*100</f>
        <v>55.69309104094927</v>
      </c>
      <c r="W8">
        <f t="shared" si="8"/>
        <v>2.3251388344636634</v>
      </c>
      <c r="X8">
        <f t="shared" si="2"/>
        <v>45.605899999999998</v>
      </c>
      <c r="AA8">
        <f t="shared" si="9"/>
        <v>0.80456812008755252</v>
      </c>
      <c r="AC8">
        <f t="shared" si="10"/>
        <v>51.966666666666669</v>
      </c>
      <c r="AD8" s="3">
        <f t="shared" si="11"/>
        <v>-0.80175107909200194</v>
      </c>
    </row>
    <row r="9" spans="3:30" x14ac:dyDescent="0.25">
      <c r="C9" s="3">
        <f t="shared" si="12"/>
        <v>47.383333333333333</v>
      </c>
      <c r="D9">
        <f>1440+D8+27</f>
        <v>2843</v>
      </c>
      <c r="E9">
        <v>2</v>
      </c>
      <c r="F9">
        <v>100</v>
      </c>
      <c r="G9" s="3">
        <v>14.9398</v>
      </c>
      <c r="H9" s="3">
        <v>14.928100000000001</v>
      </c>
      <c r="I9" s="3">
        <f t="shared" si="0"/>
        <v>66.649254397714088</v>
      </c>
      <c r="J9" s="3">
        <f t="shared" si="3"/>
        <v>68.920378251875931</v>
      </c>
      <c r="K9">
        <f t="shared" si="4"/>
        <v>2.7032453429035583</v>
      </c>
      <c r="L9">
        <f t="shared" si="5"/>
        <v>44.795999999999999</v>
      </c>
      <c r="M9" s="3">
        <f t="shared" si="6"/>
        <v>-0.40572632625694321</v>
      </c>
      <c r="O9" s="3">
        <f>P9/60</f>
        <v>73.166666666666671</v>
      </c>
      <c r="P9">
        <f>1440+P8-180+12</f>
        <v>4390</v>
      </c>
      <c r="Q9">
        <f t="shared" si="7"/>
        <v>3.0486111111111112</v>
      </c>
      <c r="R9">
        <v>100</v>
      </c>
      <c r="S9" s="3">
        <v>28.534600000000001</v>
      </c>
      <c r="T9" s="3">
        <v>8.6234000000000002</v>
      </c>
      <c r="U9" s="3">
        <f t="shared" si="1"/>
        <v>37.672067695614373</v>
      </c>
      <c r="V9" s="3">
        <f>U9/$U$6*100</f>
        <v>46.775328891865904</v>
      </c>
      <c r="W9">
        <f t="shared" si="8"/>
        <v>2.1544794384624493</v>
      </c>
      <c r="X9">
        <f t="shared" si="2"/>
        <v>45.781400000000005</v>
      </c>
      <c r="AA9">
        <f t="shared" si="9"/>
        <v>0.7455148251269329</v>
      </c>
      <c r="AC9">
        <f t="shared" si="10"/>
        <v>73.166666666666671</v>
      </c>
      <c r="AD9" s="3">
        <f t="shared" si="11"/>
        <v>-0.97625127607419104</v>
      </c>
    </row>
    <row r="10" spans="3:30" x14ac:dyDescent="0.25">
      <c r="C10" s="3">
        <f t="shared" si="12"/>
        <v>67.86666666666666</v>
      </c>
      <c r="D10">
        <f>1440+D9-31-180</f>
        <v>4072</v>
      </c>
      <c r="E10">
        <v>3</v>
      </c>
      <c r="F10">
        <v>100</v>
      </c>
      <c r="G10" s="3">
        <v>19.235099999999999</v>
      </c>
      <c r="H10" s="3">
        <v>12.7439</v>
      </c>
      <c r="I10" s="3">
        <f t="shared" si="0"/>
        <v>56.990490330457114</v>
      </c>
      <c r="J10" s="3">
        <f t="shared" si="3"/>
        <v>58.932484479071626</v>
      </c>
      <c r="K10">
        <f t="shared" si="4"/>
        <v>2.5450527257470803</v>
      </c>
      <c r="L10">
        <f t="shared" si="5"/>
        <v>44.722899999999996</v>
      </c>
      <c r="M10" s="3">
        <f t="shared" si="6"/>
        <v>-0.56228576838003608</v>
      </c>
      <c r="O10" s="3">
        <f>P10/60</f>
        <v>96.466666666666669</v>
      </c>
      <c r="P10">
        <f>1440+P9-42</f>
        <v>5788</v>
      </c>
      <c r="Q10">
        <f t="shared" si="7"/>
        <v>4.0194444444444448</v>
      </c>
      <c r="R10">
        <v>100</v>
      </c>
      <c r="S10" s="3">
        <v>31.183</v>
      </c>
      <c r="T10" s="3">
        <v>7.5494000000000003</v>
      </c>
      <c r="U10" s="3">
        <f t="shared" si="1"/>
        <v>32.623623108867847</v>
      </c>
      <c r="V10" s="3">
        <f>U10/$U$6*100</f>
        <v>40.50695366368803</v>
      </c>
      <c r="W10">
        <f t="shared" si="8"/>
        <v>2.0214680899043342</v>
      </c>
      <c r="X10">
        <f t="shared" si="2"/>
        <v>46.281800000000004</v>
      </c>
      <c r="AA10">
        <f t="shared" si="9"/>
        <v>0.6994888893533393</v>
      </c>
      <c r="AC10">
        <f t="shared" si="10"/>
        <v>96.466666666666669</v>
      </c>
      <c r="AD10" s="3">
        <f t="shared" si="11"/>
        <v>-1.1201335247954354</v>
      </c>
    </row>
    <row r="11" spans="3:30" x14ac:dyDescent="0.25">
      <c r="C11" s="3">
        <f t="shared" si="12"/>
        <v>96.2</v>
      </c>
      <c r="D11">
        <f>1440+D10+20+240</f>
        <v>5772</v>
      </c>
      <c r="E11">
        <v>4</v>
      </c>
      <c r="F11">
        <v>100</v>
      </c>
      <c r="G11" s="3">
        <v>24.2468</v>
      </c>
      <c r="H11" s="3">
        <v>10.3659</v>
      </c>
      <c r="I11" s="3">
        <f t="shared" si="0"/>
        <v>46.09258625212879</v>
      </c>
      <c r="J11" s="3">
        <f t="shared" si="3"/>
        <v>47.66322606022861</v>
      </c>
      <c r="K11">
        <f t="shared" si="4"/>
        <v>2.338521572798351</v>
      </c>
      <c r="L11">
        <f t="shared" si="5"/>
        <v>44.9786</v>
      </c>
      <c r="M11" s="3">
        <f t="shared" si="6"/>
        <v>-0.77451806774406218</v>
      </c>
      <c r="O11" s="3">
        <f t="shared" ref="O11:O12" si="13">P11/60</f>
        <v>120.76666666666667</v>
      </c>
      <c r="P11">
        <f>1440+P10+18</f>
        <v>7246</v>
      </c>
      <c r="Q11">
        <f t="shared" si="7"/>
        <v>5.0319444444444441</v>
      </c>
      <c r="R11">
        <v>100</v>
      </c>
      <c r="S11" s="3">
        <v>33.2988</v>
      </c>
      <c r="T11" s="3">
        <v>6.4886999999999997</v>
      </c>
      <c r="U11" s="3">
        <f t="shared" si="1"/>
        <v>28.04335706043279</v>
      </c>
      <c r="V11" s="3">
        <f t="shared" ref="V11:V12" si="14">U11/$U$6*100</f>
        <v>34.819889907091046</v>
      </c>
      <c r="W11">
        <f t="shared" si="8"/>
        <v>1.8700622024852285</v>
      </c>
      <c r="X11">
        <f t="shared" si="2"/>
        <v>46.276200000000003</v>
      </c>
      <c r="AA11">
        <f t="shared" si="9"/>
        <v>0.64709788869333928</v>
      </c>
      <c r="AC11">
        <f t="shared" si="10"/>
        <v>120.76666666666667</v>
      </c>
      <c r="AD11" s="3">
        <f t="shared" si="11"/>
        <v>-1.2714184070068479</v>
      </c>
    </row>
    <row r="12" spans="3:30" x14ac:dyDescent="0.25">
      <c r="C12" s="3">
        <f t="shared" si="12"/>
        <v>164.91666666666666</v>
      </c>
      <c r="D12">
        <f>1440*3+D11-17-180</f>
        <v>9895</v>
      </c>
      <c r="E12">
        <v>7</v>
      </c>
      <c r="F12">
        <v>100</v>
      </c>
      <c r="G12" s="3">
        <v>32.209099999999999</v>
      </c>
      <c r="H12" s="3">
        <v>6.6261999999999999</v>
      </c>
      <c r="I12" s="3">
        <f t="shared" si="0"/>
        <v>29.150819924551541</v>
      </c>
      <c r="J12" s="3">
        <f t="shared" si="3"/>
        <v>30.144156205614216</v>
      </c>
      <c r="K12">
        <f t="shared" si="4"/>
        <v>1.8910314875453238</v>
      </c>
      <c r="L12">
        <f t="shared" si="5"/>
        <v>45.461500000000001</v>
      </c>
      <c r="M12" s="3">
        <f t="shared" si="6"/>
        <v>-1.2326871458152457</v>
      </c>
      <c r="O12" s="3">
        <f t="shared" si="13"/>
        <v>144.15</v>
      </c>
      <c r="P12">
        <f>1440+P11-37</f>
        <v>8649</v>
      </c>
      <c r="Q12">
        <f t="shared" si="7"/>
        <v>6.0062499999999996</v>
      </c>
      <c r="R12">
        <v>100</v>
      </c>
      <c r="S12" s="3">
        <v>34.391599999999997</v>
      </c>
      <c r="T12" s="3">
        <v>5.9554999999999998</v>
      </c>
      <c r="U12" s="3">
        <f t="shared" si="1"/>
        <v>25.724257385114441</v>
      </c>
      <c r="V12" s="3">
        <f t="shared" si="14"/>
        <v>31.94039173559398</v>
      </c>
      <c r="W12">
        <f t="shared" si="8"/>
        <v>1.7843151623388185</v>
      </c>
      <c r="X12">
        <f t="shared" si="2"/>
        <v>46.302599999999998</v>
      </c>
      <c r="AA12">
        <f t="shared" si="9"/>
        <v>0.61742682825122908</v>
      </c>
      <c r="AC12">
        <f t="shared" si="10"/>
        <v>144.15</v>
      </c>
      <c r="AD12" s="3">
        <f t="shared" si="11"/>
        <v>-1.3577357721243226</v>
      </c>
    </row>
    <row r="13" spans="3:30" x14ac:dyDescent="0.25">
      <c r="C13" s="3">
        <f t="shared" si="12"/>
        <v>194.06666666666666</v>
      </c>
      <c r="D13">
        <f>1440+D12+9+300</f>
        <v>11644</v>
      </c>
      <c r="E13">
        <v>8</v>
      </c>
      <c r="F13">
        <v>100</v>
      </c>
      <c r="G13" s="3">
        <v>34.421700000000001</v>
      </c>
      <c r="H13" s="3">
        <v>5.5636000000000001</v>
      </c>
      <c r="I13" s="3">
        <f t="shared" si="0"/>
        <v>24.429130011921252</v>
      </c>
      <c r="J13" s="3">
        <f t="shared" si="3"/>
        <v>25.261571130848431</v>
      </c>
      <c r="K13">
        <f t="shared" si="4"/>
        <v>1.716245380750838</v>
      </c>
      <c r="L13">
        <f t="shared" si="5"/>
        <v>45.548900000000003</v>
      </c>
      <c r="M13" s="3">
        <f t="shared" si="6"/>
        <v>-1.4093939128170869</v>
      </c>
    </row>
    <row r="51" spans="22:23" x14ac:dyDescent="0.25">
      <c r="V51">
        <f>LN(2)/W51</f>
        <v>99.02102579427789</v>
      </c>
      <c r="W51">
        <v>7.0000000000000001E-3</v>
      </c>
    </row>
    <row r="52" spans="22:23" x14ac:dyDescent="0.25">
      <c r="V52">
        <f>V51/24</f>
        <v>4.125876074761579</v>
      </c>
    </row>
    <row r="59" spans="22:23" x14ac:dyDescent="0.25">
      <c r="V59">
        <f>LN(2)/W59</f>
        <v>87.740149437967744</v>
      </c>
      <c r="W59">
        <v>7.9000000000000008E-3</v>
      </c>
    </row>
    <row r="60" spans="22:23" x14ac:dyDescent="0.25">
      <c r="V60">
        <f>V59/24</f>
        <v>3.6558395599153228</v>
      </c>
    </row>
  </sheetData>
  <pageMargins left="0.7" right="0.7" top="0.75" bottom="0.75" header="0.3" footer="0.3"/>
  <pageSetup paperSize="9" scale="60" orientation="landscape" horizontalDpi="0" verticalDpi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4B109-8555-EE4C-9C1D-9E19BF8E2FC2}">
  <dimension ref="C38:W86"/>
  <sheetViews>
    <sheetView topLeftCell="A71" zoomScale="67" zoomScaleNormal="67" workbookViewId="0">
      <selection activeCell="G113" sqref="G113"/>
    </sheetView>
  </sheetViews>
  <sheetFormatPr defaultColWidth="11.125" defaultRowHeight="15.75" x14ac:dyDescent="0.25"/>
  <sheetData>
    <row r="38" spans="16:22" x14ac:dyDescent="0.25">
      <c r="Q38" t="s">
        <v>32</v>
      </c>
      <c r="R38" t="s">
        <v>33</v>
      </c>
      <c r="S38" t="s">
        <v>31</v>
      </c>
      <c r="T38" t="s">
        <v>30</v>
      </c>
      <c r="U38" t="s">
        <v>37</v>
      </c>
      <c r="V38" t="s">
        <v>36</v>
      </c>
    </row>
    <row r="39" spans="16:22" x14ac:dyDescent="0.25">
      <c r="P39" t="s">
        <v>35</v>
      </c>
      <c r="Q39">
        <f>PI()</f>
        <v>3.1415926535897931</v>
      </c>
      <c r="R39">
        <v>30</v>
      </c>
      <c r="S39">
        <f>R39/2</f>
        <v>15</v>
      </c>
      <c r="T39">
        <f>Q39*S39*S39</f>
        <v>706.85834705770344</v>
      </c>
      <c r="U39">
        <f>V39/T39</f>
        <v>0.35367765131532297</v>
      </c>
      <c r="V39">
        <v>250</v>
      </c>
    </row>
    <row r="40" spans="16:22" x14ac:dyDescent="0.25">
      <c r="P40" t="s">
        <v>34</v>
      </c>
      <c r="Q40">
        <f>Q39</f>
        <v>3.1415926535897931</v>
      </c>
      <c r="R40">
        <v>25</v>
      </c>
      <c r="S40">
        <f>R40/2</f>
        <v>12.5</v>
      </c>
      <c r="T40">
        <f>Q40*S40*S40</f>
        <v>490.87385212340519</v>
      </c>
      <c r="U40">
        <f>V40/T40</f>
        <v>0.35446988925426931</v>
      </c>
      <c r="V40">
        <v>174</v>
      </c>
    </row>
    <row r="86" spans="3:23" x14ac:dyDescent="0.25">
      <c r="C86" t="s">
        <v>3</v>
      </c>
      <c r="K86" t="s">
        <v>67</v>
      </c>
      <c r="Q86" t="s">
        <v>23</v>
      </c>
      <c r="W86" t="s">
        <v>21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F104E-3766-4A86-B0F6-9C3E17D64A81}">
  <dimension ref="G5:T43"/>
  <sheetViews>
    <sheetView zoomScale="91" zoomScaleNormal="91" workbookViewId="0">
      <selection activeCell="M6" sqref="M6:M15"/>
    </sheetView>
  </sheetViews>
  <sheetFormatPr defaultColWidth="8.875" defaultRowHeight="15.75" x14ac:dyDescent="0.25"/>
  <sheetData>
    <row r="5" spans="7:20" x14ac:dyDescent="0.25">
      <c r="G5" t="s">
        <v>68</v>
      </c>
      <c r="H5" t="s">
        <v>69</v>
      </c>
      <c r="I5" t="s">
        <v>70</v>
      </c>
      <c r="J5" t="s">
        <v>71</v>
      </c>
      <c r="K5" t="s">
        <v>72</v>
      </c>
      <c r="L5" t="s">
        <v>73</v>
      </c>
      <c r="M5" t="s">
        <v>43</v>
      </c>
      <c r="N5" t="s">
        <v>74</v>
      </c>
      <c r="O5" t="s">
        <v>75</v>
      </c>
      <c r="Q5" t="s">
        <v>76</v>
      </c>
      <c r="R5" t="s">
        <v>77</v>
      </c>
      <c r="S5" t="s">
        <v>52</v>
      </c>
      <c r="T5" t="s">
        <v>92</v>
      </c>
    </row>
    <row r="6" spans="7:20" x14ac:dyDescent="0.25">
      <c r="G6" s="5">
        <v>0</v>
      </c>
      <c r="H6">
        <v>1.5486</v>
      </c>
      <c r="I6">
        <f>H6/4</f>
        <v>0.38714999999999999</v>
      </c>
      <c r="J6">
        <v>32.115299999999998</v>
      </c>
      <c r="K6">
        <f>J6/3</f>
        <v>10.7051</v>
      </c>
      <c r="L6">
        <f>I6+K6</f>
        <v>11.09225</v>
      </c>
      <c r="M6" s="6">
        <f>K6/L6</f>
        <v>0.96509725258626522</v>
      </c>
      <c r="N6" s="6">
        <f>(K6/L6)/($K$6/$L$6)</f>
        <v>1</v>
      </c>
      <c r="O6">
        <v>100</v>
      </c>
      <c r="Q6">
        <f>LN(J6)</f>
        <v>3.4693325520953637</v>
      </c>
      <c r="R6">
        <f>Q6/$Q$6</f>
        <v>1</v>
      </c>
      <c r="S6" s="5">
        <f>G6</f>
        <v>0</v>
      </c>
      <c r="T6">
        <f>LN(M6)</f>
        <v>-3.5526402838962155E-2</v>
      </c>
    </row>
    <row r="7" spans="7:20" x14ac:dyDescent="0.25">
      <c r="G7" s="5">
        <v>22.616666666666667</v>
      </c>
      <c r="H7">
        <v>7.9564000000000004</v>
      </c>
      <c r="I7">
        <f t="shared" ref="I7:I15" si="0">H7/4</f>
        <v>1.9891000000000001</v>
      </c>
      <c r="J7">
        <v>27.327500000000001</v>
      </c>
      <c r="K7">
        <f t="shared" ref="K7:K15" si="1">J7/3</f>
        <v>9.1091666666666669</v>
      </c>
      <c r="L7">
        <f t="shared" ref="L7:L15" si="2">I7+K7</f>
        <v>11.098266666666667</v>
      </c>
      <c r="M7" s="6">
        <f>K7/L7</f>
        <v>0.82077381452959619</v>
      </c>
      <c r="N7" s="6">
        <f t="shared" ref="N7:N15" si="3">(K7/L7)/($K$6/$L$6)</f>
        <v>0.85045710401732943</v>
      </c>
      <c r="O7">
        <v>100</v>
      </c>
      <c r="Q7">
        <f t="shared" ref="Q7:Q15" si="4">LN(J7)</f>
        <v>3.3078935211858536</v>
      </c>
      <c r="R7">
        <f t="shared" ref="R7:R15" si="5">Q7/$Q$6</f>
        <v>0.95346683303334345</v>
      </c>
      <c r="S7" s="5">
        <f t="shared" ref="S7:S15" si="6">G7</f>
        <v>22.616666666666667</v>
      </c>
      <c r="T7">
        <f t="shared" ref="T7:T15" si="7">LN(M7)</f>
        <v>-0.19750770745074656</v>
      </c>
    </row>
    <row r="8" spans="7:20" x14ac:dyDescent="0.25">
      <c r="G8" s="5">
        <v>92.7</v>
      </c>
      <c r="H8">
        <v>21.298400000000001</v>
      </c>
      <c r="I8">
        <f t="shared" si="0"/>
        <v>5.3246000000000002</v>
      </c>
      <c r="J8">
        <v>17.5169</v>
      </c>
      <c r="K8">
        <f t="shared" si="1"/>
        <v>5.8389666666666669</v>
      </c>
      <c r="L8">
        <f t="shared" si="2"/>
        <v>11.163566666666668</v>
      </c>
      <c r="M8" s="6">
        <f t="shared" ref="M8:M15" si="8">K8/L8</f>
        <v>0.52303773883496008</v>
      </c>
      <c r="N8" s="6">
        <f t="shared" si="3"/>
        <v>0.54195340151816285</v>
      </c>
      <c r="O8">
        <v>100</v>
      </c>
      <c r="Q8">
        <f t="shared" si="4"/>
        <v>2.8631661292131341</v>
      </c>
      <c r="R8">
        <f t="shared" si="5"/>
        <v>0.82527866274562667</v>
      </c>
      <c r="S8" s="5">
        <f t="shared" si="6"/>
        <v>92.7</v>
      </c>
      <c r="T8">
        <f t="shared" si="7"/>
        <v>-0.64810165913626028</v>
      </c>
    </row>
    <row r="9" spans="7:20" x14ac:dyDescent="0.25">
      <c r="G9" s="5">
        <v>117.91666666666667</v>
      </c>
      <c r="H9">
        <v>24.6784</v>
      </c>
      <c r="I9">
        <f t="shared" si="0"/>
        <v>6.1696</v>
      </c>
      <c r="J9">
        <v>15.062200000000001</v>
      </c>
      <c r="K9">
        <f t="shared" si="1"/>
        <v>5.0207333333333333</v>
      </c>
      <c r="L9">
        <f t="shared" si="2"/>
        <v>11.190333333333333</v>
      </c>
      <c r="M9" s="6">
        <f>K9/L9</f>
        <v>0.44866700425962885</v>
      </c>
      <c r="N9" s="6">
        <f t="shared" si="3"/>
        <v>0.46489304892050221</v>
      </c>
      <c r="O9">
        <v>100</v>
      </c>
      <c r="Q9">
        <f t="shared" si="4"/>
        <v>2.7121882940400792</v>
      </c>
      <c r="R9">
        <f t="shared" si="5"/>
        <v>0.78176082958723747</v>
      </c>
      <c r="S9" s="5">
        <f t="shared" si="6"/>
        <v>117.91666666666667</v>
      </c>
      <c r="T9">
        <f t="shared" si="7"/>
        <v>-0.80147430500983396</v>
      </c>
    </row>
    <row r="10" spans="7:20" x14ac:dyDescent="0.25">
      <c r="G10" s="5">
        <v>140.94999999999999</v>
      </c>
      <c r="H10">
        <v>27.256399999999999</v>
      </c>
      <c r="I10">
        <f t="shared" si="0"/>
        <v>6.8140999999999998</v>
      </c>
      <c r="J10">
        <v>13.135</v>
      </c>
      <c r="K10">
        <f t="shared" si="1"/>
        <v>4.378333333333333</v>
      </c>
      <c r="L10">
        <f t="shared" si="2"/>
        <v>11.192433333333334</v>
      </c>
      <c r="M10" s="6">
        <f t="shared" si="8"/>
        <v>0.3911869030565292</v>
      </c>
      <c r="N10" s="6">
        <f t="shared" si="3"/>
        <v>0.40533417954328177</v>
      </c>
      <c r="O10">
        <v>100</v>
      </c>
      <c r="Q10">
        <f t="shared" si="4"/>
        <v>2.575280423137503</v>
      </c>
      <c r="R10">
        <f t="shared" si="5"/>
        <v>0.74229852124787454</v>
      </c>
      <c r="S10" s="5">
        <f t="shared" si="6"/>
        <v>140.94999999999999</v>
      </c>
      <c r="T10">
        <f t="shared" si="7"/>
        <v>-0.93856982027625824</v>
      </c>
    </row>
    <row r="11" spans="7:20" x14ac:dyDescent="0.25">
      <c r="G11" s="5">
        <v>186.25</v>
      </c>
      <c r="H11">
        <v>31.290500000000002</v>
      </c>
      <c r="I11">
        <f t="shared" si="0"/>
        <v>7.8226250000000004</v>
      </c>
      <c r="J11">
        <v>10.1821</v>
      </c>
      <c r="K11">
        <f t="shared" si="1"/>
        <v>3.3940333333333332</v>
      </c>
      <c r="L11">
        <f t="shared" si="2"/>
        <v>11.216658333333333</v>
      </c>
      <c r="M11" s="6">
        <f t="shared" si="8"/>
        <v>0.30258863490983279</v>
      </c>
      <c r="N11" s="6">
        <f t="shared" si="3"/>
        <v>0.31353175454489846</v>
      </c>
      <c r="O11">
        <v>100</v>
      </c>
      <c r="Q11">
        <f t="shared" si="4"/>
        <v>2.3206312766851078</v>
      </c>
      <c r="R11">
        <f t="shared" si="5"/>
        <v>0.66889848172194455</v>
      </c>
      <c r="S11" s="5">
        <f t="shared" si="6"/>
        <v>186.25</v>
      </c>
      <c r="T11">
        <f t="shared" si="7"/>
        <v>-1.1953810364633022</v>
      </c>
    </row>
    <row r="12" spans="7:20" x14ac:dyDescent="0.25">
      <c r="G12" s="5">
        <v>257.31666666666666</v>
      </c>
      <c r="H12">
        <v>35.3324</v>
      </c>
      <c r="I12">
        <f t="shared" si="0"/>
        <v>8.8331</v>
      </c>
      <c r="J12">
        <v>7.1148999999999996</v>
      </c>
      <c r="K12">
        <f t="shared" si="1"/>
        <v>2.371633333333333</v>
      </c>
      <c r="L12">
        <f t="shared" si="2"/>
        <v>11.204733333333333</v>
      </c>
      <c r="M12" s="6">
        <f t="shared" si="8"/>
        <v>0.21166352315390516</v>
      </c>
      <c r="N12" s="6">
        <f t="shared" si="3"/>
        <v>0.21931833562544062</v>
      </c>
      <c r="O12">
        <v>100</v>
      </c>
      <c r="Q12">
        <f t="shared" si="4"/>
        <v>1.9621911766292721</v>
      </c>
      <c r="R12">
        <f t="shared" si="5"/>
        <v>0.56558175013928047</v>
      </c>
      <c r="S12" s="5">
        <f t="shared" si="6"/>
        <v>257.31666666666666</v>
      </c>
      <c r="T12">
        <f t="shared" si="7"/>
        <v>-1.5527574201092289</v>
      </c>
    </row>
    <row r="13" spans="7:20" x14ac:dyDescent="0.25">
      <c r="G13" s="5">
        <v>280.55</v>
      </c>
      <c r="H13">
        <v>36.595500000000001</v>
      </c>
      <c r="I13">
        <f t="shared" si="0"/>
        <v>9.1488750000000003</v>
      </c>
      <c r="J13">
        <v>6.2093999999999996</v>
      </c>
      <c r="K13">
        <f t="shared" si="1"/>
        <v>2.0697999999999999</v>
      </c>
      <c r="L13">
        <f t="shared" si="2"/>
        <v>11.218675000000001</v>
      </c>
      <c r="M13" s="6">
        <f t="shared" si="8"/>
        <v>0.18449594091993926</v>
      </c>
      <c r="N13" s="6">
        <f t="shared" si="3"/>
        <v>0.19116823763152108</v>
      </c>
      <c r="O13">
        <v>100</v>
      </c>
      <c r="Q13">
        <f t="shared" si="4"/>
        <v>1.8260642729200451</v>
      </c>
      <c r="R13">
        <f t="shared" si="5"/>
        <v>0.52634454769035099</v>
      </c>
      <c r="S13" s="5">
        <f t="shared" si="6"/>
        <v>280.55</v>
      </c>
      <c r="T13">
        <f t="shared" si="7"/>
        <v>-1.6901278161775017</v>
      </c>
    </row>
    <row r="14" spans="7:20" x14ac:dyDescent="0.25">
      <c r="G14" s="5">
        <v>305.46666666666664</v>
      </c>
      <c r="H14">
        <v>37.610999999999997</v>
      </c>
      <c r="I14">
        <f t="shared" si="0"/>
        <v>9.4027499999999993</v>
      </c>
      <c r="J14">
        <v>5.4938000000000002</v>
      </c>
      <c r="K14">
        <f t="shared" si="1"/>
        <v>1.8312666666666668</v>
      </c>
      <c r="L14">
        <f t="shared" si="2"/>
        <v>11.234016666666665</v>
      </c>
      <c r="M14" s="6">
        <f t="shared" si="8"/>
        <v>0.16301085542274138</v>
      </c>
      <c r="N14" s="6">
        <f t="shared" si="3"/>
        <v>0.1689061438999078</v>
      </c>
      <c r="O14">
        <v>100</v>
      </c>
      <c r="Q14">
        <f t="shared" si="4"/>
        <v>1.703620183661356</v>
      </c>
      <c r="R14">
        <f t="shared" si="5"/>
        <v>0.49105127804263821</v>
      </c>
      <c r="S14" s="5">
        <f t="shared" si="6"/>
        <v>305.46666666666664</v>
      </c>
      <c r="T14">
        <f t="shared" si="7"/>
        <v>-1.8139384827073721</v>
      </c>
    </row>
    <row r="15" spans="7:20" x14ac:dyDescent="0.25">
      <c r="G15" s="5">
        <v>329.21666666666664</v>
      </c>
      <c r="H15">
        <v>38.140700000000002</v>
      </c>
      <c r="I15">
        <f t="shared" si="0"/>
        <v>9.5351750000000006</v>
      </c>
      <c r="J15">
        <v>5.0702999999999996</v>
      </c>
      <c r="K15">
        <f t="shared" si="1"/>
        <v>1.6900999999999999</v>
      </c>
      <c r="L15">
        <f t="shared" si="2"/>
        <v>11.225275</v>
      </c>
      <c r="M15" s="6">
        <f t="shared" si="8"/>
        <v>0.15056201295736629</v>
      </c>
      <c r="N15" s="6">
        <f t="shared" si="3"/>
        <v>0.15600708897874341</v>
      </c>
      <c r="O15">
        <v>100</v>
      </c>
      <c r="Q15">
        <f t="shared" si="4"/>
        <v>1.623399987450155</v>
      </c>
      <c r="R15">
        <f t="shared" si="5"/>
        <v>0.46792861827837012</v>
      </c>
      <c r="S15" s="5">
        <f t="shared" si="6"/>
        <v>329.21666666666664</v>
      </c>
      <c r="T15">
        <f t="shared" si="7"/>
        <v>-1.8933802334325942</v>
      </c>
    </row>
    <row r="17" spans="8:12" x14ac:dyDescent="0.25">
      <c r="H17" s="3">
        <f>H6</f>
        <v>1.5486</v>
      </c>
      <c r="I17" s="3">
        <f>J6</f>
        <v>32.115299999999998</v>
      </c>
      <c r="J17" s="3">
        <f>M6*100</f>
        <v>96.509725258626517</v>
      </c>
      <c r="K17" s="3">
        <f>N6*100</f>
        <v>100</v>
      </c>
      <c r="L17" s="3">
        <f>T6</f>
        <v>-3.5526402838962155E-2</v>
      </c>
    </row>
    <row r="18" spans="8:12" x14ac:dyDescent="0.25">
      <c r="H18" s="3">
        <f t="shared" ref="H18:H26" si="9">H7</f>
        <v>7.9564000000000004</v>
      </c>
      <c r="I18" s="3">
        <f t="shared" ref="I18:I26" si="10">J7</f>
        <v>27.327500000000001</v>
      </c>
      <c r="J18" s="3">
        <f t="shared" ref="J18:K18" si="11">M7*100</f>
        <v>82.077381452959614</v>
      </c>
      <c r="K18" s="3">
        <f t="shared" si="11"/>
        <v>85.045710401732947</v>
      </c>
      <c r="L18" s="3">
        <f t="shared" ref="L18:L26" si="12">T7</f>
        <v>-0.19750770745074656</v>
      </c>
    </row>
    <row r="19" spans="8:12" x14ac:dyDescent="0.25">
      <c r="H19" s="3">
        <f t="shared" si="9"/>
        <v>21.298400000000001</v>
      </c>
      <c r="I19" s="3">
        <f t="shared" si="10"/>
        <v>17.5169</v>
      </c>
      <c r="J19" s="3">
        <f t="shared" ref="J19:K19" si="13">M8*100</f>
        <v>52.303773883496007</v>
      </c>
      <c r="K19" s="3">
        <f t="shared" si="13"/>
        <v>54.195340151816282</v>
      </c>
      <c r="L19" s="3">
        <f t="shared" si="12"/>
        <v>-0.64810165913626028</v>
      </c>
    </row>
    <row r="20" spans="8:12" x14ac:dyDescent="0.25">
      <c r="H20" s="3">
        <f t="shared" si="9"/>
        <v>24.6784</v>
      </c>
      <c r="I20" s="3">
        <f t="shared" si="10"/>
        <v>15.062200000000001</v>
      </c>
      <c r="J20" s="3">
        <f t="shared" ref="J20:K20" si="14">M9*100</f>
        <v>44.866700425962883</v>
      </c>
      <c r="K20" s="3">
        <f t="shared" si="14"/>
        <v>46.489304892050221</v>
      </c>
      <c r="L20" s="3">
        <f t="shared" si="12"/>
        <v>-0.80147430500983396</v>
      </c>
    </row>
    <row r="21" spans="8:12" x14ac:dyDescent="0.25">
      <c r="H21" s="3">
        <f t="shared" si="9"/>
        <v>27.256399999999999</v>
      </c>
      <c r="I21" s="3">
        <f t="shared" si="10"/>
        <v>13.135</v>
      </c>
      <c r="J21" s="3">
        <f t="shared" ref="J21:K21" si="15">M10*100</f>
        <v>39.118690305652919</v>
      </c>
      <c r="K21" s="3">
        <f t="shared" si="15"/>
        <v>40.533417954328179</v>
      </c>
      <c r="L21" s="3">
        <f t="shared" si="12"/>
        <v>-0.93856982027625824</v>
      </c>
    </row>
    <row r="22" spans="8:12" x14ac:dyDescent="0.25">
      <c r="H22" s="3">
        <f t="shared" si="9"/>
        <v>31.290500000000002</v>
      </c>
      <c r="I22" s="3">
        <f t="shared" si="10"/>
        <v>10.1821</v>
      </c>
      <c r="J22" s="3">
        <f t="shared" ref="J22:K22" si="16">M11*100</f>
        <v>30.258863490983281</v>
      </c>
      <c r="K22" s="3">
        <f t="shared" si="16"/>
        <v>31.353175454489847</v>
      </c>
      <c r="L22" s="3">
        <f t="shared" si="12"/>
        <v>-1.1953810364633022</v>
      </c>
    </row>
    <row r="23" spans="8:12" x14ac:dyDescent="0.25">
      <c r="H23" s="3">
        <f t="shared" si="9"/>
        <v>35.3324</v>
      </c>
      <c r="I23" s="3">
        <f t="shared" si="10"/>
        <v>7.1148999999999996</v>
      </c>
      <c r="J23" s="3">
        <f t="shared" ref="J23:K23" si="17">M12*100</f>
        <v>21.166352315390515</v>
      </c>
      <c r="K23" s="3">
        <f t="shared" si="17"/>
        <v>21.93183356254406</v>
      </c>
      <c r="L23" s="3">
        <f t="shared" si="12"/>
        <v>-1.5527574201092289</v>
      </c>
    </row>
    <row r="24" spans="8:12" x14ac:dyDescent="0.25">
      <c r="H24" s="3">
        <f t="shared" si="9"/>
        <v>36.595500000000001</v>
      </c>
      <c r="I24" s="3">
        <f t="shared" si="10"/>
        <v>6.2093999999999996</v>
      </c>
      <c r="J24" s="3">
        <f t="shared" ref="J24:K24" si="18">M13*100</f>
        <v>18.449594091993927</v>
      </c>
      <c r="K24" s="3">
        <f t="shared" si="18"/>
        <v>19.116823763152109</v>
      </c>
      <c r="L24" s="3">
        <f t="shared" si="12"/>
        <v>-1.6901278161775017</v>
      </c>
    </row>
    <row r="25" spans="8:12" x14ac:dyDescent="0.25">
      <c r="H25" s="3">
        <f t="shared" si="9"/>
        <v>37.610999999999997</v>
      </c>
      <c r="I25" s="3">
        <f t="shared" si="10"/>
        <v>5.4938000000000002</v>
      </c>
      <c r="J25" s="3">
        <f t="shared" ref="J25:K25" si="19">M14*100</f>
        <v>16.301085542274137</v>
      </c>
      <c r="K25" s="3">
        <f t="shared" si="19"/>
        <v>16.89061438999078</v>
      </c>
      <c r="L25" s="3">
        <f t="shared" si="12"/>
        <v>-1.8139384827073721</v>
      </c>
    </row>
    <row r="26" spans="8:12" x14ac:dyDescent="0.25">
      <c r="H26" s="3">
        <f t="shared" si="9"/>
        <v>38.140700000000002</v>
      </c>
      <c r="I26" s="3">
        <f t="shared" si="10"/>
        <v>5.0702999999999996</v>
      </c>
      <c r="J26" s="3">
        <f t="shared" ref="J26:K26" si="20">M15*100</f>
        <v>15.05620129573663</v>
      </c>
      <c r="K26" s="3">
        <f t="shared" si="20"/>
        <v>15.600708897874341</v>
      </c>
      <c r="L26" s="3">
        <f t="shared" si="12"/>
        <v>-1.8933802334325942</v>
      </c>
    </row>
    <row r="27" spans="8:12" x14ac:dyDescent="0.25">
      <c r="J27" s="9"/>
      <c r="K27" s="9"/>
    </row>
    <row r="28" spans="8:12" x14ac:dyDescent="0.25">
      <c r="J28" s="9"/>
      <c r="K28" s="9"/>
    </row>
    <row r="29" spans="8:12" x14ac:dyDescent="0.25">
      <c r="J29" s="9"/>
      <c r="K29" s="9"/>
    </row>
    <row r="30" spans="8:12" x14ac:dyDescent="0.25">
      <c r="J30" s="9"/>
      <c r="K30" s="9"/>
    </row>
    <row r="31" spans="8:12" x14ac:dyDescent="0.25">
      <c r="J31" s="9"/>
      <c r="K31" s="9"/>
    </row>
    <row r="32" spans="8:12" x14ac:dyDescent="0.25">
      <c r="J32" s="9"/>
      <c r="K32" s="9"/>
    </row>
    <row r="33" spans="10:11" x14ac:dyDescent="0.25">
      <c r="J33" s="9"/>
      <c r="K33" s="9"/>
    </row>
    <row r="34" spans="10:11" x14ac:dyDescent="0.25">
      <c r="J34" s="9"/>
      <c r="K34" s="9"/>
    </row>
    <row r="35" spans="10:11" x14ac:dyDescent="0.25">
      <c r="J35" s="9"/>
      <c r="K35" s="9"/>
    </row>
    <row r="36" spans="10:11" x14ac:dyDescent="0.25">
      <c r="J36" s="9"/>
      <c r="K36" s="9"/>
    </row>
    <row r="37" spans="10:11" x14ac:dyDescent="0.25">
      <c r="J37" s="9"/>
      <c r="K37" s="9"/>
    </row>
    <row r="38" spans="10:11" x14ac:dyDescent="0.25">
      <c r="J38" s="9"/>
      <c r="K38" s="9"/>
    </row>
    <row r="39" spans="10:11" x14ac:dyDescent="0.25">
      <c r="J39" s="9"/>
      <c r="K39" s="9"/>
    </row>
    <row r="40" spans="10:11" x14ac:dyDescent="0.25">
      <c r="J40" s="9"/>
      <c r="K40" s="9"/>
    </row>
    <row r="41" spans="10:11" x14ac:dyDescent="0.25">
      <c r="J41" s="9"/>
      <c r="K41" s="9"/>
    </row>
    <row r="42" spans="10:11" x14ac:dyDescent="0.25">
      <c r="J42" s="9"/>
      <c r="K42" s="9"/>
    </row>
    <row r="43" spans="10:11" x14ac:dyDescent="0.25">
      <c r="J43" s="9"/>
      <c r="K43" s="9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9B068-3D86-47CC-9A5C-82A550A47844}">
  <dimension ref="E4:R31"/>
  <sheetViews>
    <sheetView workbookViewId="0">
      <selection activeCell="K5" sqref="K5:K14"/>
    </sheetView>
  </sheetViews>
  <sheetFormatPr defaultColWidth="8.875" defaultRowHeight="15.75" x14ac:dyDescent="0.25"/>
  <sheetData>
    <row r="4" spans="5:18" x14ac:dyDescent="0.25"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K4" t="s">
        <v>43</v>
      </c>
      <c r="L4" t="s">
        <v>79</v>
      </c>
      <c r="M4" t="s">
        <v>75</v>
      </c>
      <c r="O4" t="s">
        <v>76</v>
      </c>
      <c r="P4" t="s">
        <v>77</v>
      </c>
      <c r="Q4" t="s">
        <v>52</v>
      </c>
      <c r="R4" s="7" t="s">
        <v>89</v>
      </c>
    </row>
    <row r="5" spans="5:18" x14ac:dyDescent="0.25">
      <c r="E5" s="5">
        <v>0</v>
      </c>
      <c r="F5">
        <v>1.349</v>
      </c>
      <c r="G5">
        <f>F5/4</f>
        <v>0.33724999999999999</v>
      </c>
      <c r="H5">
        <v>31.4238</v>
      </c>
      <c r="I5">
        <f>H5/3</f>
        <v>10.474600000000001</v>
      </c>
      <c r="J5">
        <f>G5+I5</f>
        <v>10.81185</v>
      </c>
      <c r="K5" s="6">
        <f>I5/J5</f>
        <v>0.9688073733912328</v>
      </c>
      <c r="L5" s="6">
        <f>(I5/J5)/($I$5/$J$5)</f>
        <v>1</v>
      </c>
      <c r="M5">
        <v>100</v>
      </c>
      <c r="O5">
        <f>LN(H5)</f>
        <v>3.4475655675896832</v>
      </c>
      <c r="P5">
        <f>O5/$O$5</f>
        <v>1</v>
      </c>
      <c r="Q5" s="5">
        <f>E5</f>
        <v>0</v>
      </c>
      <c r="R5">
        <f>LN(K5)</f>
        <v>-3.1689475922472093E-2</v>
      </c>
    </row>
    <row r="6" spans="5:18" x14ac:dyDescent="0.25">
      <c r="E6" s="5">
        <v>22.633333333333333</v>
      </c>
      <c r="F6">
        <v>6.5853000000000002</v>
      </c>
      <c r="G6">
        <f t="shared" ref="G6:G14" si="0">F6/4</f>
        <v>1.646325</v>
      </c>
      <c r="H6">
        <v>27.645800000000001</v>
      </c>
      <c r="I6">
        <f t="shared" ref="I6:I14" si="1">H6/3</f>
        <v>9.2152666666666665</v>
      </c>
      <c r="J6">
        <f t="shared" ref="J6:J14" si="2">G6+I6</f>
        <v>10.861591666666666</v>
      </c>
      <c r="K6" s="6">
        <f t="shared" ref="K6:K14" si="3">I6/J6</f>
        <v>0.84842691103437118</v>
      </c>
      <c r="L6" s="6">
        <f t="shared" ref="L6:L14" si="4">(I6/J6)/($I$5/$J$5)</f>
        <v>0.87574365589778758</v>
      </c>
      <c r="M6">
        <v>100</v>
      </c>
      <c r="O6">
        <f t="shared" ref="O6:O14" si="5">LN(H6)</f>
        <v>3.3194738176963856</v>
      </c>
      <c r="P6">
        <f t="shared" ref="P6:P14" si="6">O6/$O$5</f>
        <v>0.96284573929572825</v>
      </c>
      <c r="Q6" s="5">
        <f t="shared" ref="Q6:Q14" si="7">E6</f>
        <v>22.633333333333333</v>
      </c>
      <c r="R6">
        <f t="shared" ref="R6:R14" si="8">LN(K6)</f>
        <v>-0.16437133704647225</v>
      </c>
    </row>
    <row r="7" spans="5:18" x14ac:dyDescent="0.25">
      <c r="E7" s="5">
        <v>92.7</v>
      </c>
      <c r="F7">
        <v>18.459099999999999</v>
      </c>
      <c r="G7">
        <f t="shared" si="0"/>
        <v>4.6147749999999998</v>
      </c>
      <c r="H7">
        <v>18.9757</v>
      </c>
      <c r="I7">
        <f t="shared" si="1"/>
        <v>6.3252333333333333</v>
      </c>
      <c r="J7">
        <f t="shared" si="2"/>
        <v>10.940008333333333</v>
      </c>
      <c r="K7" s="6">
        <f t="shared" si="3"/>
        <v>0.57817445294450565</v>
      </c>
      <c r="L7" s="6">
        <f t="shared" si="4"/>
        <v>0.59678989737727961</v>
      </c>
      <c r="M7">
        <v>100</v>
      </c>
      <c r="O7">
        <f t="shared" si="5"/>
        <v>2.9431592132468367</v>
      </c>
      <c r="P7">
        <f t="shared" si="6"/>
        <v>0.85369201993292465</v>
      </c>
      <c r="Q7" s="5">
        <f t="shared" si="7"/>
        <v>92.7</v>
      </c>
      <c r="R7">
        <f t="shared" si="8"/>
        <v>-0.54787963414547003</v>
      </c>
    </row>
    <row r="8" spans="5:18" x14ac:dyDescent="0.25">
      <c r="E8" s="5">
        <v>117.93333333333334</v>
      </c>
      <c r="F8">
        <v>21.7545</v>
      </c>
      <c r="G8">
        <f t="shared" si="0"/>
        <v>5.438625</v>
      </c>
      <c r="H8">
        <v>16.691800000000001</v>
      </c>
      <c r="I8">
        <f t="shared" si="1"/>
        <v>5.5639333333333338</v>
      </c>
      <c r="J8">
        <f t="shared" si="2"/>
        <v>11.002558333333333</v>
      </c>
      <c r="K8" s="6">
        <f>I8/J8</f>
        <v>0.50569450892860535</v>
      </c>
      <c r="L8" s="6">
        <f t="shared" si="4"/>
        <v>0.52197632142131833</v>
      </c>
      <c r="M8">
        <v>100</v>
      </c>
      <c r="O8">
        <f t="shared" si="5"/>
        <v>2.8149175808698415</v>
      </c>
      <c r="P8">
        <f t="shared" si="6"/>
        <v>0.81649428435319105</v>
      </c>
      <c r="Q8" s="5">
        <f t="shared" si="7"/>
        <v>117.93333333333334</v>
      </c>
      <c r="R8">
        <f t="shared" si="8"/>
        <v>-0.68182252931266574</v>
      </c>
    </row>
    <row r="9" spans="5:18" x14ac:dyDescent="0.25">
      <c r="E9" s="5">
        <v>140.96666666666667</v>
      </c>
      <c r="F9">
        <v>24.242999999999999</v>
      </c>
      <c r="G9">
        <f t="shared" si="0"/>
        <v>6.0607499999999996</v>
      </c>
      <c r="H9">
        <v>14.853199999999999</v>
      </c>
      <c r="I9">
        <f t="shared" si="1"/>
        <v>4.9510666666666667</v>
      </c>
      <c r="J9">
        <f t="shared" si="2"/>
        <v>11.011816666666666</v>
      </c>
      <c r="K9" s="6">
        <f t="shared" si="3"/>
        <v>0.44961397529018071</v>
      </c>
      <c r="L9" s="6">
        <f t="shared" si="4"/>
        <v>0.46409016656876062</v>
      </c>
      <c r="M9">
        <v>100</v>
      </c>
      <c r="O9">
        <f t="shared" si="5"/>
        <v>2.6982153302499463</v>
      </c>
      <c r="P9">
        <f t="shared" si="6"/>
        <v>0.78264365893883936</v>
      </c>
      <c r="Q9" s="5">
        <f t="shared" si="7"/>
        <v>140.96666666666667</v>
      </c>
      <c r="R9">
        <f t="shared" si="8"/>
        <v>-0.79936589705527483</v>
      </c>
    </row>
    <row r="10" spans="5:18" x14ac:dyDescent="0.25">
      <c r="E10" s="5">
        <v>186.26666666666668</v>
      </c>
      <c r="F10">
        <v>28.321000000000002</v>
      </c>
      <c r="G10">
        <f t="shared" si="0"/>
        <v>7.0802500000000004</v>
      </c>
      <c r="H10">
        <v>11.9086</v>
      </c>
      <c r="I10">
        <f t="shared" si="1"/>
        <v>3.9695333333333331</v>
      </c>
      <c r="J10">
        <f t="shared" si="2"/>
        <v>11.049783333333334</v>
      </c>
      <c r="K10" s="6">
        <f>I10/J10</f>
        <v>0.35924082975985949</v>
      </c>
      <c r="L10" s="6">
        <f t="shared" si="4"/>
        <v>0.37080728287850007</v>
      </c>
      <c r="M10">
        <v>100</v>
      </c>
      <c r="O10">
        <f t="shared" si="5"/>
        <v>2.4772608281791109</v>
      </c>
      <c r="P10">
        <f t="shared" si="6"/>
        <v>0.71855365173259134</v>
      </c>
      <c r="Q10" s="5">
        <f t="shared" si="7"/>
        <v>186.26666666666668</v>
      </c>
      <c r="R10">
        <f t="shared" si="8"/>
        <v>-1.0237622804173871</v>
      </c>
    </row>
    <row r="11" spans="5:18" x14ac:dyDescent="0.25">
      <c r="E11" s="5">
        <v>257.31666666666666</v>
      </c>
      <c r="F11">
        <v>32.805900000000001</v>
      </c>
      <c r="G11">
        <f t="shared" si="0"/>
        <v>8.2014750000000003</v>
      </c>
      <c r="H11">
        <v>8.6920999999999999</v>
      </c>
      <c r="I11">
        <f t="shared" si="1"/>
        <v>2.8973666666666666</v>
      </c>
      <c r="J11">
        <f t="shared" si="2"/>
        <v>11.098841666666667</v>
      </c>
      <c r="K11" s="6">
        <f t="shared" si="3"/>
        <v>0.26105126586032623</v>
      </c>
      <c r="L11" s="6">
        <f t="shared" si="4"/>
        <v>0.26945631611631643</v>
      </c>
      <c r="M11">
        <v>100</v>
      </c>
      <c r="O11">
        <f t="shared" si="5"/>
        <v>2.1624145671600328</v>
      </c>
      <c r="P11">
        <f t="shared" si="6"/>
        <v>0.627229424579691</v>
      </c>
      <c r="Q11" s="5">
        <f t="shared" si="7"/>
        <v>257.31666666666666</v>
      </c>
      <c r="R11">
        <f t="shared" si="8"/>
        <v>-1.3430384700267168</v>
      </c>
    </row>
    <row r="12" spans="5:18" x14ac:dyDescent="0.25">
      <c r="E12" s="5">
        <v>280.55</v>
      </c>
      <c r="F12">
        <v>33.9572</v>
      </c>
      <c r="G12">
        <f t="shared" si="0"/>
        <v>8.4893000000000001</v>
      </c>
      <c r="H12">
        <v>7.891</v>
      </c>
      <c r="I12">
        <f t="shared" si="1"/>
        <v>2.6303333333333332</v>
      </c>
      <c r="J12">
        <f t="shared" si="2"/>
        <v>11.119633333333333</v>
      </c>
      <c r="K12" s="6">
        <f t="shared" si="3"/>
        <v>0.23654856724892007</v>
      </c>
      <c r="L12" s="6">
        <f t="shared" si="4"/>
        <v>0.24416470574630406</v>
      </c>
      <c r="M12">
        <v>100</v>
      </c>
      <c r="O12">
        <f t="shared" si="5"/>
        <v>2.0657228695388978</v>
      </c>
      <c r="P12">
        <f t="shared" si="6"/>
        <v>0.59918305512695991</v>
      </c>
      <c r="Q12" s="5">
        <f t="shared" si="7"/>
        <v>280.55</v>
      </c>
      <c r="R12">
        <f t="shared" si="8"/>
        <v>-1.4416017337869032</v>
      </c>
    </row>
    <row r="13" spans="5:18" x14ac:dyDescent="0.25">
      <c r="E13" s="5">
        <v>305.46666666666664</v>
      </c>
      <c r="F13">
        <v>34.997799999999998</v>
      </c>
      <c r="G13">
        <f t="shared" si="0"/>
        <v>8.7494499999999995</v>
      </c>
      <c r="H13">
        <v>7.0991</v>
      </c>
      <c r="I13">
        <f t="shared" si="1"/>
        <v>2.3663666666666665</v>
      </c>
      <c r="J13">
        <f t="shared" si="2"/>
        <v>11.115816666666666</v>
      </c>
      <c r="K13" s="6">
        <f t="shared" si="3"/>
        <v>0.21288284411551708</v>
      </c>
      <c r="L13" s="6">
        <f t="shared" si="4"/>
        <v>0.21973701889813008</v>
      </c>
      <c r="M13">
        <v>100</v>
      </c>
      <c r="O13">
        <f t="shared" si="5"/>
        <v>1.9599680154490902</v>
      </c>
      <c r="P13">
        <f t="shared" si="6"/>
        <v>0.56850782879217987</v>
      </c>
      <c r="Q13" s="5">
        <f t="shared" si="7"/>
        <v>305.46666666666664</v>
      </c>
      <c r="R13">
        <f t="shared" si="8"/>
        <v>-1.547013292220077</v>
      </c>
    </row>
    <row r="14" spans="5:18" x14ac:dyDescent="0.25">
      <c r="E14" s="5">
        <v>329.23333333333335</v>
      </c>
      <c r="F14">
        <v>35.842199999999998</v>
      </c>
      <c r="G14">
        <f t="shared" si="0"/>
        <v>8.9605499999999996</v>
      </c>
      <c r="H14">
        <v>6.5065999999999997</v>
      </c>
      <c r="I14">
        <f t="shared" si="1"/>
        <v>2.1688666666666667</v>
      </c>
      <c r="J14">
        <f t="shared" si="2"/>
        <v>11.129416666666666</v>
      </c>
      <c r="K14" s="6">
        <f t="shared" si="3"/>
        <v>0.19487694024095306</v>
      </c>
      <c r="L14" s="6">
        <f t="shared" si="4"/>
        <v>0.20115138013328893</v>
      </c>
      <c r="M14">
        <v>100</v>
      </c>
      <c r="O14">
        <f t="shared" si="5"/>
        <v>1.8728170463627078</v>
      </c>
      <c r="P14">
        <f t="shared" si="6"/>
        <v>0.54322884065467136</v>
      </c>
      <c r="Q14" s="5">
        <f t="shared" si="7"/>
        <v>329.23333333333335</v>
      </c>
      <c r="R14">
        <f t="shared" si="8"/>
        <v>-1.6353869953178883</v>
      </c>
    </row>
    <row r="17" spans="5:10" x14ac:dyDescent="0.25">
      <c r="E17" s="3">
        <f>E5</f>
        <v>0</v>
      </c>
      <c r="F17" s="3">
        <f>F5</f>
        <v>1.349</v>
      </c>
      <c r="G17" s="3">
        <f>H5</f>
        <v>31.4238</v>
      </c>
      <c r="H17" s="3">
        <f>K5*100</f>
        <v>96.880737339123286</v>
      </c>
      <c r="I17" s="3">
        <f>L5*100</f>
        <v>100</v>
      </c>
      <c r="J17" s="3">
        <f>R5</f>
        <v>-3.1689475922472093E-2</v>
      </c>
    </row>
    <row r="18" spans="5:10" x14ac:dyDescent="0.25">
      <c r="E18" s="3">
        <f t="shared" ref="E18:F18" si="9">E6</f>
        <v>22.633333333333333</v>
      </c>
      <c r="F18" s="3">
        <f t="shared" si="9"/>
        <v>6.5853000000000002</v>
      </c>
      <c r="G18" s="3">
        <f t="shared" ref="G18:G26" si="10">H6</f>
        <v>27.645800000000001</v>
      </c>
      <c r="H18" s="3">
        <f t="shared" ref="H18:I18" si="11">K6*100</f>
        <v>84.842691103437119</v>
      </c>
      <c r="I18" s="3">
        <f t="shared" si="11"/>
        <v>87.574365589778751</v>
      </c>
      <c r="J18" s="3">
        <f t="shared" ref="J18:J26" si="12">R6</f>
        <v>-0.16437133704647225</v>
      </c>
    </row>
    <row r="19" spans="5:10" x14ac:dyDescent="0.25">
      <c r="E19" s="3">
        <f t="shared" ref="E19:F19" si="13">E7</f>
        <v>92.7</v>
      </c>
      <c r="F19" s="3">
        <f t="shared" si="13"/>
        <v>18.459099999999999</v>
      </c>
      <c r="G19" s="3">
        <f t="shared" si="10"/>
        <v>18.9757</v>
      </c>
      <c r="H19" s="3">
        <f t="shared" ref="H19:I19" si="14">K7*100</f>
        <v>57.817445294450565</v>
      </c>
      <c r="I19" s="3">
        <f t="shared" si="14"/>
        <v>59.67898973772796</v>
      </c>
      <c r="J19" s="3">
        <f t="shared" si="12"/>
        <v>-0.54787963414547003</v>
      </c>
    </row>
    <row r="20" spans="5:10" x14ac:dyDescent="0.25">
      <c r="E20" s="3">
        <f t="shared" ref="E20:F20" si="15">E8</f>
        <v>117.93333333333334</v>
      </c>
      <c r="F20" s="3">
        <f t="shared" si="15"/>
        <v>21.7545</v>
      </c>
      <c r="G20" s="3">
        <f t="shared" si="10"/>
        <v>16.691800000000001</v>
      </c>
      <c r="H20" s="3">
        <f t="shared" ref="H20:I20" si="16">K8*100</f>
        <v>50.569450892860537</v>
      </c>
      <c r="I20" s="3">
        <f t="shared" si="16"/>
        <v>52.19763214213183</v>
      </c>
      <c r="J20" s="3">
        <f t="shared" si="12"/>
        <v>-0.68182252931266574</v>
      </c>
    </row>
    <row r="21" spans="5:10" x14ac:dyDescent="0.25">
      <c r="E21" s="3">
        <f t="shared" ref="E21:F21" si="17">E9</f>
        <v>140.96666666666667</v>
      </c>
      <c r="F21" s="3">
        <f t="shared" si="17"/>
        <v>24.242999999999999</v>
      </c>
      <c r="G21" s="3">
        <f t="shared" si="10"/>
        <v>14.853199999999999</v>
      </c>
      <c r="H21" s="3">
        <f t="shared" ref="H21:I21" si="18">K9*100</f>
        <v>44.961397529018072</v>
      </c>
      <c r="I21" s="3">
        <f t="shared" si="18"/>
        <v>46.409016656876062</v>
      </c>
      <c r="J21" s="3">
        <f t="shared" si="12"/>
        <v>-0.79936589705527483</v>
      </c>
    </row>
    <row r="22" spans="5:10" x14ac:dyDescent="0.25">
      <c r="E22" s="3">
        <f t="shared" ref="E22:F22" si="19">E10</f>
        <v>186.26666666666668</v>
      </c>
      <c r="F22" s="3">
        <f t="shared" si="19"/>
        <v>28.321000000000002</v>
      </c>
      <c r="G22" s="3">
        <f t="shared" si="10"/>
        <v>11.9086</v>
      </c>
      <c r="H22" s="3">
        <f t="shared" ref="H22:I22" si="20">K10*100</f>
        <v>35.924082975985947</v>
      </c>
      <c r="I22" s="3">
        <f t="shared" si="20"/>
        <v>37.080728287850008</v>
      </c>
      <c r="J22" s="3">
        <f t="shared" si="12"/>
        <v>-1.0237622804173871</v>
      </c>
    </row>
    <row r="23" spans="5:10" x14ac:dyDescent="0.25">
      <c r="E23" s="3">
        <f t="shared" ref="E23:F23" si="21">E11</f>
        <v>257.31666666666666</v>
      </c>
      <c r="F23" s="3">
        <f t="shared" si="21"/>
        <v>32.805900000000001</v>
      </c>
      <c r="G23" s="3">
        <f t="shared" si="10"/>
        <v>8.6920999999999999</v>
      </c>
      <c r="H23" s="3">
        <f t="shared" ref="H23:I23" si="22">K11*100</f>
        <v>26.105126586032622</v>
      </c>
      <c r="I23" s="3">
        <f t="shared" si="22"/>
        <v>26.945631611631644</v>
      </c>
      <c r="J23" s="3">
        <f t="shared" si="12"/>
        <v>-1.3430384700267168</v>
      </c>
    </row>
    <row r="24" spans="5:10" x14ac:dyDescent="0.25">
      <c r="E24" s="3">
        <f t="shared" ref="E24:F24" si="23">E12</f>
        <v>280.55</v>
      </c>
      <c r="F24" s="3">
        <f t="shared" si="23"/>
        <v>33.9572</v>
      </c>
      <c r="G24" s="3">
        <f t="shared" si="10"/>
        <v>7.891</v>
      </c>
      <c r="H24" s="3">
        <f t="shared" ref="H24:I24" si="24">K12*100</f>
        <v>23.654856724892007</v>
      </c>
      <c r="I24" s="3">
        <f t="shared" si="24"/>
        <v>24.416470574630406</v>
      </c>
      <c r="J24" s="3">
        <f t="shared" si="12"/>
        <v>-1.4416017337869032</v>
      </c>
    </row>
    <row r="25" spans="5:10" x14ac:dyDescent="0.25">
      <c r="E25" s="3">
        <f t="shared" ref="E25:F25" si="25">E13</f>
        <v>305.46666666666664</v>
      </c>
      <c r="F25" s="3">
        <f t="shared" si="25"/>
        <v>34.997799999999998</v>
      </c>
      <c r="G25" s="3">
        <f t="shared" si="10"/>
        <v>7.0991</v>
      </c>
      <c r="H25" s="3">
        <f t="shared" ref="H25:I25" si="26">K13*100</f>
        <v>21.288284411551707</v>
      </c>
      <c r="I25" s="3">
        <f t="shared" si="26"/>
        <v>21.973701889813007</v>
      </c>
      <c r="J25" s="3">
        <f t="shared" si="12"/>
        <v>-1.547013292220077</v>
      </c>
    </row>
    <row r="26" spans="5:10" x14ac:dyDescent="0.25">
      <c r="E26" s="3">
        <f t="shared" ref="E26:F26" si="27">E14</f>
        <v>329.23333333333335</v>
      </c>
      <c r="F26" s="3">
        <f t="shared" si="27"/>
        <v>35.842199999999998</v>
      </c>
      <c r="G26" s="3">
        <f t="shared" si="10"/>
        <v>6.5065999999999997</v>
      </c>
      <c r="H26" s="3">
        <f t="shared" ref="H26:I26" si="28">K14*100</f>
        <v>19.487694024095305</v>
      </c>
      <c r="I26" s="3">
        <f t="shared" si="28"/>
        <v>20.115138013328892</v>
      </c>
      <c r="J26" s="3">
        <f t="shared" si="12"/>
        <v>-1.6353869953178883</v>
      </c>
    </row>
    <row r="27" spans="5:10" x14ac:dyDescent="0.25">
      <c r="E27" s="5"/>
    </row>
    <row r="28" spans="5:10" x14ac:dyDescent="0.25">
      <c r="E28" s="5"/>
    </row>
    <row r="29" spans="5:10" x14ac:dyDescent="0.25">
      <c r="E29" s="5"/>
    </row>
    <row r="30" spans="5:10" x14ac:dyDescent="0.25">
      <c r="E30" s="5"/>
    </row>
    <row r="31" spans="5:10" x14ac:dyDescent="0.25">
      <c r="E31" s="5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502A9-8BBA-4AF3-B0B0-B26C9BC853D4}">
  <dimension ref="C38:AI122"/>
  <sheetViews>
    <sheetView topLeftCell="A117" zoomScale="85" zoomScaleNormal="85" workbookViewId="0">
      <selection activeCell="Q132" sqref="Q132"/>
    </sheetView>
  </sheetViews>
  <sheetFormatPr defaultColWidth="11.125" defaultRowHeight="15.75" x14ac:dyDescent="0.25"/>
  <sheetData>
    <row r="38" spans="16:22" x14ac:dyDescent="0.25">
      <c r="Q38" t="s">
        <v>32</v>
      </c>
      <c r="R38" t="s">
        <v>33</v>
      </c>
      <c r="S38" t="s">
        <v>31</v>
      </c>
      <c r="T38" t="s">
        <v>30</v>
      </c>
      <c r="U38" t="s">
        <v>37</v>
      </c>
      <c r="V38" t="s">
        <v>36</v>
      </c>
    </row>
    <row r="39" spans="16:22" x14ac:dyDescent="0.25">
      <c r="P39" t="s">
        <v>35</v>
      </c>
      <c r="Q39">
        <f>PI()</f>
        <v>3.1415926535897931</v>
      </c>
      <c r="R39">
        <v>30</v>
      </c>
      <c r="S39">
        <f>R39/2</f>
        <v>15</v>
      </c>
      <c r="T39">
        <f>Q39*S39*S39</f>
        <v>706.85834705770344</v>
      </c>
      <c r="U39">
        <f>V39/T39</f>
        <v>0.35367765131532297</v>
      </c>
      <c r="V39">
        <v>250</v>
      </c>
    </row>
    <row r="40" spans="16:22" x14ac:dyDescent="0.25">
      <c r="P40" t="s">
        <v>34</v>
      </c>
      <c r="Q40">
        <f>Q39</f>
        <v>3.1415926535897931</v>
      </c>
      <c r="R40">
        <v>25</v>
      </c>
      <c r="S40">
        <f>R40/2</f>
        <v>12.5</v>
      </c>
      <c r="T40">
        <f>Q40*S40*S40</f>
        <v>490.87385212340519</v>
      </c>
      <c r="U40">
        <f>V40/T40</f>
        <v>0.35446988925426931</v>
      </c>
      <c r="V40">
        <v>174</v>
      </c>
    </row>
    <row r="86" spans="3:35" x14ac:dyDescent="0.25">
      <c r="C86" t="s">
        <v>3</v>
      </c>
      <c r="K86" t="s">
        <v>67</v>
      </c>
      <c r="Q86" t="s">
        <v>23</v>
      </c>
      <c r="W86" t="s">
        <v>21</v>
      </c>
      <c r="AC86" t="s">
        <v>78</v>
      </c>
      <c r="AI86" t="s">
        <v>80</v>
      </c>
    </row>
    <row r="108" spans="11:19" x14ac:dyDescent="0.25">
      <c r="Q108" t="s">
        <v>87</v>
      </c>
      <c r="R108" t="s">
        <v>45</v>
      </c>
    </row>
    <row r="109" spans="11:19" x14ac:dyDescent="0.25">
      <c r="K109" t="s">
        <v>91</v>
      </c>
      <c r="L109" t="s">
        <v>90</v>
      </c>
      <c r="P109" t="s">
        <v>81</v>
      </c>
      <c r="Q109">
        <f>LN(2)/R109</f>
        <v>161.19701873487099</v>
      </c>
      <c r="R109">
        <v>4.3E-3</v>
      </c>
      <c r="S109">
        <f>Q109/24</f>
        <v>6.7165424472862911</v>
      </c>
    </row>
    <row r="110" spans="11:19" x14ac:dyDescent="0.25">
      <c r="K110" t="s">
        <v>67</v>
      </c>
      <c r="L110">
        <f>S110</f>
        <v>6.8764601246026329</v>
      </c>
      <c r="P110" t="s">
        <v>82</v>
      </c>
      <c r="Q110">
        <f>LN(2)/R110</f>
        <v>165.03504299046318</v>
      </c>
      <c r="R110">
        <v>4.1999999999999997E-3</v>
      </c>
      <c r="S110">
        <f t="shared" ref="S110:S114" si="0">Q110/24</f>
        <v>6.8764601246026329</v>
      </c>
    </row>
    <row r="111" spans="11:19" x14ac:dyDescent="0.25">
      <c r="K111" t="s">
        <v>3</v>
      </c>
      <c r="L111">
        <f>S109</f>
        <v>6.7165424472862911</v>
      </c>
      <c r="P111" t="s">
        <v>83</v>
      </c>
      <c r="Q111">
        <f t="shared" ref="Q111:Q114" si="1">LN(2)/R111</f>
        <v>78.766725063630147</v>
      </c>
      <c r="R111">
        <v>8.8000000000000005E-3</v>
      </c>
      <c r="S111">
        <f t="shared" si="0"/>
        <v>3.2819468776512561</v>
      </c>
    </row>
    <row r="112" spans="11:19" x14ac:dyDescent="0.25">
      <c r="K112" t="s">
        <v>80</v>
      </c>
      <c r="L112">
        <f>S114</f>
        <v>5.8941086782308281</v>
      </c>
      <c r="P112" t="s">
        <v>84</v>
      </c>
      <c r="Q112">
        <f t="shared" si="1"/>
        <v>85.573725995054971</v>
      </c>
      <c r="R112">
        <v>8.0999999999999996E-3</v>
      </c>
      <c r="S112">
        <f t="shared" si="0"/>
        <v>3.5655719164606237</v>
      </c>
    </row>
    <row r="113" spans="11:28" x14ac:dyDescent="0.25">
      <c r="K113" t="s">
        <v>78</v>
      </c>
      <c r="L113">
        <f>S113</f>
        <v>5.1573450934519736</v>
      </c>
      <c r="P113" t="s">
        <v>85</v>
      </c>
      <c r="Q113">
        <f t="shared" si="1"/>
        <v>123.77628224284737</v>
      </c>
      <c r="R113">
        <v>5.5999999999999999E-3</v>
      </c>
      <c r="S113">
        <f t="shared" si="0"/>
        <v>5.1573450934519736</v>
      </c>
    </row>
    <row r="114" spans="11:28" x14ac:dyDescent="0.25">
      <c r="K114" t="s">
        <v>21</v>
      </c>
      <c r="L114">
        <f>S112</f>
        <v>3.5655719164606237</v>
      </c>
      <c r="P114" t="s">
        <v>86</v>
      </c>
      <c r="Q114">
        <f t="shared" si="1"/>
        <v>141.45860827753987</v>
      </c>
      <c r="R114">
        <v>4.8999999999999998E-3</v>
      </c>
      <c r="S114">
        <f t="shared" si="0"/>
        <v>5.8941086782308281</v>
      </c>
    </row>
    <row r="115" spans="11:28" x14ac:dyDescent="0.25">
      <c r="K115" t="s">
        <v>23</v>
      </c>
      <c r="L115">
        <f>S111</f>
        <v>3.2819468776512561</v>
      </c>
    </row>
    <row r="122" spans="11:28" x14ac:dyDescent="0.25">
      <c r="AB122" t="s">
        <v>94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5</vt:i4>
      </vt:variant>
    </vt:vector>
  </HeadingPairs>
  <TitlesOfParts>
    <vt:vector size="17" baseType="lpstr">
      <vt:lpstr>M1</vt:lpstr>
      <vt:lpstr>P1</vt:lpstr>
      <vt:lpstr>P2</vt:lpstr>
      <vt:lpstr>P3</vt:lpstr>
      <vt:lpstr>P4</vt:lpstr>
      <vt:lpstr>P1-P4</vt:lpstr>
      <vt:lpstr>P5</vt:lpstr>
      <vt:lpstr>P6</vt:lpstr>
      <vt:lpstr>P1-P6</vt:lpstr>
      <vt:lpstr>John</vt:lpstr>
      <vt:lpstr>CNW15 (CP2)</vt:lpstr>
      <vt:lpstr>CNW16 (CP1)</vt:lpstr>
      <vt:lpstr>'CNW15 (CP2)'!Print_Area</vt:lpstr>
      <vt:lpstr>'P1'!Print_Area</vt:lpstr>
      <vt:lpstr>'P2'!Print_Area</vt:lpstr>
      <vt:lpstr>'P3'!Print_Area</vt:lpstr>
      <vt:lpstr>'P4'!Print_Area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Wallace, Callum</dc:creator>
  <cp:lastModifiedBy>Kieran Griffiths</cp:lastModifiedBy>
  <cp:lastPrinted>2019-07-18T10:59:54Z</cp:lastPrinted>
  <dcterms:created xsi:type="dcterms:W3CDTF">2019-07-18T10:45:22Z</dcterms:created>
  <dcterms:modified xsi:type="dcterms:W3CDTF">2022-12-02T11:06:26Z</dcterms:modified>
</cp:coreProperties>
</file>